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2df1b7cf5b5c187c/Escritorio/"/>
    </mc:Choice>
  </mc:AlternateContent>
  <xr:revisionPtr revIDLastSave="11" documentId="8_{A84D0F78-79C9-4D20-9179-AC35E80BDB9B}" xr6:coauthVersionLast="47" xr6:coauthVersionMax="47" xr10:uidLastSave="{CC08EBD8-E0D6-4857-B803-22360E998376}"/>
  <bookViews>
    <workbookView xWindow="-110" yWindow="-110" windowWidth="22620" windowHeight="13500" firstSheet="15" activeTab="16" xr2:uid="{00000000-000D-0000-FFFF-FFFF00000000}"/>
  </bookViews>
  <sheets>
    <sheet name="Presentación" sheetId="1" r:id="rId1"/>
    <sheet name="Historial de cambios" sheetId="2" r:id="rId2"/>
    <sheet name="Tabla de contenido" sheetId="3" r:id="rId3"/>
    <sheet name="1.Propósito" sheetId="4" r:id="rId4"/>
    <sheet name="2.Alcance" sheetId="5" r:id="rId5"/>
    <sheet name="3. Contexto " sheetId="6" r:id="rId6"/>
    <sheet name="4. Plataforma estratégica" sheetId="7" r:id="rId7"/>
    <sheet name="5. Objetivos estratégicos" sheetId="8" r:id="rId8"/>
    <sheet name="6. Interrelación de objetivos" sheetId="9" r:id="rId9"/>
    <sheet name="7. Objetivos y metas" sheetId="10" r:id="rId10"/>
    <sheet name="8. lineamiento de indi" sheetId="11" r:id="rId11"/>
    <sheet name="9. DOFA" sheetId="12" r:id="rId12"/>
    <sheet name="10. RELACIÓN DOFA" sheetId="13" r:id="rId13"/>
    <sheet name="11 Cronograma del plan estratég" sheetId="14" r:id="rId14"/>
    <sheet name="12. Proyección de ventas." sheetId="16" r:id="rId15"/>
    <sheet name="13. Presupuesto ingresos" sheetId="15" r:id="rId16"/>
    <sheet name="14. presupuesto gastos" sheetId="17" r:id="rId17"/>
    <sheet name="15. Flujo de caja " sheetId="21" r:id="rId18"/>
    <sheet name="16. Presupuesto" sheetId="19" r:id="rId19"/>
    <sheet name="17. Plan de inversiones." sheetId="20" r:id="rId20"/>
  </sheets>
  <definedNames>
    <definedName name="_xlnm._FilterDatabase" localSheetId="13" hidden="1">'11 Cronograma del plan estratég'!$A$15:$AL$132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6" l="1"/>
  <c r="C24" i="16"/>
  <c r="C21" i="16"/>
  <c r="C29" i="16" a="1"/>
  <c r="C29" i="16" s="1"/>
  <c r="C28" i="16"/>
  <c r="C27" i="16"/>
  <c r="C26" i="16"/>
  <c r="C23" i="16"/>
  <c r="C20" i="16"/>
  <c r="C19" i="16"/>
  <c r="C17" i="16"/>
  <c r="C16" i="16"/>
  <c r="C15" i="16"/>
  <c r="C14" i="16"/>
  <c r="R16" i="21" l="1"/>
  <c r="R15" i="21"/>
  <c r="P12" i="21"/>
  <c r="N233" i="21" l="1"/>
  <c r="M233" i="21"/>
  <c r="L233" i="21"/>
  <c r="K233" i="21"/>
  <c r="J233" i="21"/>
  <c r="I233" i="21"/>
  <c r="H233" i="21"/>
  <c r="G233" i="21"/>
  <c r="F233" i="21"/>
  <c r="E233" i="21"/>
  <c r="D233" i="21"/>
  <c r="C233" i="21"/>
  <c r="E242" i="21"/>
  <c r="C212" i="21"/>
  <c r="N212" i="21"/>
  <c r="M212" i="21"/>
  <c r="L212" i="21"/>
  <c r="K212" i="21"/>
  <c r="J212" i="21"/>
  <c r="I212" i="21"/>
  <c r="H212" i="21"/>
  <c r="G212" i="21"/>
  <c r="F212" i="21"/>
  <c r="E212" i="21"/>
  <c r="D212" i="21"/>
  <c r="O212" i="21" a="1"/>
  <c r="O212" i="21" s="1"/>
  <c r="G150" i="21"/>
  <c r="G149" i="21"/>
  <c r="H150" i="21"/>
  <c r="I150" i="21"/>
  <c r="J150" i="21" s="1"/>
  <c r="K150" i="21" s="1"/>
  <c r="L150" i="21" s="1"/>
  <c r="M150" i="21" s="1"/>
  <c r="N150" i="21" s="1"/>
  <c r="R200" i="21"/>
  <c r="C209" i="21"/>
  <c r="C205" i="21"/>
  <c r="C190" i="21"/>
  <c r="C195" i="21"/>
  <c r="C176" i="21"/>
  <c r="C172" i="21"/>
  <c r="C162" i="21"/>
  <c r="F148" i="21"/>
  <c r="E148" i="21"/>
  <c r="D148" i="21"/>
  <c r="C148" i="21"/>
  <c r="C147" i="21" s="1" a="1"/>
  <c r="C147" i="21" s="1"/>
  <c r="C98" i="21"/>
  <c r="C51" i="21"/>
  <c r="C30" i="21"/>
  <c r="P103" i="21"/>
  <c r="G232" i="21"/>
  <c r="F232" i="21"/>
  <c r="F231" i="21"/>
  <c r="F230" i="21"/>
  <c r="F229" i="21"/>
  <c r="F228" i="21"/>
  <c r="G228" i="21" s="1"/>
  <c r="F227" i="21"/>
  <c r="F226" i="21"/>
  <c r="F225" i="21"/>
  <c r="F224" i="21"/>
  <c r="G224" i="21" s="1"/>
  <c r="F223" i="21"/>
  <c r="G223" i="21" s="1"/>
  <c r="H223" i="21" s="1"/>
  <c r="F222" i="21"/>
  <c r="G222" i="21" s="1"/>
  <c r="H222" i="21" s="1"/>
  <c r="F221" i="21"/>
  <c r="F220" i="21"/>
  <c r="F219" i="21"/>
  <c r="G218" i="21"/>
  <c r="F218" i="21"/>
  <c r="F217" i="21"/>
  <c r="O216" i="21" a="1"/>
  <c r="O216" i="21" s="1"/>
  <c r="O215" i="21" s="1" a="1"/>
  <c r="O215" i="21" s="1"/>
  <c r="R207" i="21"/>
  <c r="S207" i="21"/>
  <c r="S208" i="21"/>
  <c r="F202" i="21"/>
  <c r="F201" i="21" s="1"/>
  <c r="E202" i="21"/>
  <c r="E201" i="21" s="1"/>
  <c r="D202" i="21"/>
  <c r="D201" i="21" s="1"/>
  <c r="C202" i="21"/>
  <c r="C201" i="21" s="1"/>
  <c r="G207" i="21"/>
  <c r="G206" i="21"/>
  <c r="H206" i="21" s="1"/>
  <c r="G204" i="21"/>
  <c r="H204" i="21" s="1"/>
  <c r="I204" i="21" s="1"/>
  <c r="J204" i="21" s="1"/>
  <c r="K204" i="21" s="1"/>
  <c r="L204" i="21" s="1"/>
  <c r="M204" i="21" s="1"/>
  <c r="N204" i="21" s="1"/>
  <c r="G203" i="21"/>
  <c r="G199" i="21"/>
  <c r="H199" i="21" s="1"/>
  <c r="I199" i="21" s="1"/>
  <c r="J199" i="21" s="1"/>
  <c r="K199" i="21" s="1"/>
  <c r="L199" i="21" s="1"/>
  <c r="M199" i="21" s="1"/>
  <c r="N199" i="21" s="1"/>
  <c r="G198" i="21"/>
  <c r="G194" i="21"/>
  <c r="H194" i="21" s="1"/>
  <c r="I194" i="21" s="1"/>
  <c r="J194" i="21" s="1"/>
  <c r="K194" i="21" s="1"/>
  <c r="L194" i="21" s="1"/>
  <c r="M194" i="21" s="1"/>
  <c r="N194" i="21" s="1"/>
  <c r="G193" i="21"/>
  <c r="H193" i="21" s="1"/>
  <c r="I193" i="21" s="1"/>
  <c r="J193" i="21" s="1"/>
  <c r="K193" i="21" s="1"/>
  <c r="L193" i="21" s="1"/>
  <c r="M193" i="21" s="1"/>
  <c r="N193" i="21" s="1"/>
  <c r="G192" i="21"/>
  <c r="H192" i="21" s="1"/>
  <c r="I192" i="21" s="1"/>
  <c r="J192" i="21" s="1"/>
  <c r="K192" i="21" s="1"/>
  <c r="L192" i="21" s="1"/>
  <c r="M192" i="21" s="1"/>
  <c r="N192" i="21" s="1"/>
  <c r="G191" i="21"/>
  <c r="H191" i="21" s="1"/>
  <c r="I191" i="21" s="1"/>
  <c r="J191" i="21" s="1"/>
  <c r="K191" i="21" s="1"/>
  <c r="L191" i="21" s="1"/>
  <c r="M191" i="21" s="1"/>
  <c r="N191" i="21" s="1"/>
  <c r="G189" i="21"/>
  <c r="H189" i="21" s="1"/>
  <c r="I189" i="21" s="1"/>
  <c r="J189" i="21" s="1"/>
  <c r="K189" i="21" s="1"/>
  <c r="L189" i="21" s="1"/>
  <c r="M189" i="21" s="1"/>
  <c r="N189" i="21" s="1"/>
  <c r="G188" i="21"/>
  <c r="H188" i="21" s="1"/>
  <c r="I188" i="21" s="1"/>
  <c r="J188" i="21" s="1"/>
  <c r="K188" i="21" s="1"/>
  <c r="L188" i="21" s="1"/>
  <c r="M188" i="21" s="1"/>
  <c r="N188" i="21" s="1"/>
  <c r="G187" i="21"/>
  <c r="H187" i="21" s="1"/>
  <c r="I187" i="21" s="1"/>
  <c r="J187" i="21" s="1"/>
  <c r="K187" i="21" s="1"/>
  <c r="L187" i="21" s="1"/>
  <c r="M187" i="21" s="1"/>
  <c r="N187" i="21" s="1"/>
  <c r="G186" i="21"/>
  <c r="G185" i="21"/>
  <c r="H185" i="21" s="1"/>
  <c r="I185" i="21" s="1"/>
  <c r="J185" i="21" s="1"/>
  <c r="K185" i="21" s="1"/>
  <c r="L185" i="21" s="1"/>
  <c r="M185" i="21" s="1"/>
  <c r="N185" i="21" s="1"/>
  <c r="G184" i="21"/>
  <c r="H184" i="21" s="1"/>
  <c r="I184" i="21" s="1"/>
  <c r="J184" i="21" s="1"/>
  <c r="K184" i="21" s="1"/>
  <c r="L184" i="21" s="1"/>
  <c r="M184" i="21" s="1"/>
  <c r="N184" i="21" s="1"/>
  <c r="G183" i="21"/>
  <c r="G182" i="21"/>
  <c r="G181" i="21"/>
  <c r="H181" i="21" s="1"/>
  <c r="I181" i="21" s="1"/>
  <c r="J181" i="21" s="1"/>
  <c r="K181" i="21" s="1"/>
  <c r="L181" i="21" s="1"/>
  <c r="M181" i="21" s="1"/>
  <c r="N181" i="21" s="1"/>
  <c r="G180" i="21"/>
  <c r="H180" i="21" s="1"/>
  <c r="I180" i="21" s="1"/>
  <c r="J180" i="21" s="1"/>
  <c r="K180" i="21" s="1"/>
  <c r="L180" i="21" s="1"/>
  <c r="M180" i="21" s="1"/>
  <c r="N180" i="21" s="1"/>
  <c r="G179" i="21"/>
  <c r="H179" i="21" s="1"/>
  <c r="I179" i="21" s="1"/>
  <c r="J179" i="21" s="1"/>
  <c r="K179" i="21" s="1"/>
  <c r="L179" i="21" s="1"/>
  <c r="M179" i="21" s="1"/>
  <c r="N179" i="21" s="1"/>
  <c r="G178" i="21"/>
  <c r="G177" i="21"/>
  <c r="H177" i="21" s="1"/>
  <c r="G175" i="21"/>
  <c r="H175" i="21" s="1"/>
  <c r="I175" i="21" s="1"/>
  <c r="J175" i="21" s="1"/>
  <c r="K175" i="21" s="1"/>
  <c r="L175" i="21" s="1"/>
  <c r="M175" i="21" s="1"/>
  <c r="N175" i="21" s="1"/>
  <c r="G174" i="21"/>
  <c r="H174" i="21" s="1"/>
  <c r="G173" i="21"/>
  <c r="H173" i="21" s="1"/>
  <c r="I173" i="21" s="1"/>
  <c r="G171" i="21"/>
  <c r="H171" i="21" s="1"/>
  <c r="I171" i="21" s="1"/>
  <c r="J171" i="21" s="1"/>
  <c r="K171" i="21" s="1"/>
  <c r="L171" i="21" s="1"/>
  <c r="M171" i="21" s="1"/>
  <c r="N171" i="21" s="1"/>
  <c r="G170" i="21"/>
  <c r="H170" i="21" s="1"/>
  <c r="I170" i="21" s="1"/>
  <c r="J170" i="21" s="1"/>
  <c r="K170" i="21" s="1"/>
  <c r="L170" i="21" s="1"/>
  <c r="M170" i="21" s="1"/>
  <c r="N170" i="21" s="1"/>
  <c r="G169" i="21"/>
  <c r="H169" i="21" s="1"/>
  <c r="I169" i="21" s="1"/>
  <c r="J169" i="21" s="1"/>
  <c r="K169" i="21" s="1"/>
  <c r="L169" i="21" s="1"/>
  <c r="M169" i="21" s="1"/>
  <c r="N169" i="21" s="1"/>
  <c r="G168" i="21"/>
  <c r="G167" i="21"/>
  <c r="H167" i="21" s="1"/>
  <c r="I167" i="21" s="1"/>
  <c r="J167" i="21" s="1"/>
  <c r="K167" i="21" s="1"/>
  <c r="L167" i="21" s="1"/>
  <c r="M167" i="21" s="1"/>
  <c r="N167" i="21" s="1"/>
  <c r="G166" i="21"/>
  <c r="H166" i="21" s="1"/>
  <c r="I166" i="21" s="1"/>
  <c r="J166" i="21" s="1"/>
  <c r="K166" i="21" s="1"/>
  <c r="L166" i="21" s="1"/>
  <c r="M166" i="21" s="1"/>
  <c r="N166" i="21" s="1"/>
  <c r="G165" i="21"/>
  <c r="H165" i="21" s="1"/>
  <c r="I165" i="21" s="1"/>
  <c r="J165" i="21" s="1"/>
  <c r="K165" i="21" s="1"/>
  <c r="L165" i="21" s="1"/>
  <c r="M165" i="21" s="1"/>
  <c r="N165" i="21" s="1"/>
  <c r="G164" i="21"/>
  <c r="G163" i="21"/>
  <c r="H163" i="21" s="1"/>
  <c r="G161" i="21"/>
  <c r="H161" i="21" s="1"/>
  <c r="I161" i="21" s="1"/>
  <c r="J161" i="21" s="1"/>
  <c r="K161" i="21" s="1"/>
  <c r="L161" i="21" s="1"/>
  <c r="M161" i="21" s="1"/>
  <c r="N161" i="21" s="1"/>
  <c r="G160" i="21"/>
  <c r="H160" i="21" s="1"/>
  <c r="I160" i="21" s="1"/>
  <c r="J160" i="21" s="1"/>
  <c r="K160" i="21" s="1"/>
  <c r="L160" i="21" s="1"/>
  <c r="M160" i="21" s="1"/>
  <c r="N160" i="21" s="1"/>
  <c r="G159" i="21"/>
  <c r="H159" i="21" s="1"/>
  <c r="I159" i="21" s="1"/>
  <c r="J159" i="21" s="1"/>
  <c r="K159" i="21" s="1"/>
  <c r="L159" i="21" s="1"/>
  <c r="M159" i="21" s="1"/>
  <c r="N159" i="21" s="1"/>
  <c r="G158" i="21"/>
  <c r="G157" i="21"/>
  <c r="H157" i="21" s="1"/>
  <c r="I157" i="21" s="1"/>
  <c r="J157" i="21" s="1"/>
  <c r="K157" i="21" s="1"/>
  <c r="L157" i="21" s="1"/>
  <c r="M157" i="21" s="1"/>
  <c r="N157" i="21" s="1"/>
  <c r="G156" i="21"/>
  <c r="H156" i="21" s="1"/>
  <c r="I156" i="21" s="1"/>
  <c r="J156" i="21" s="1"/>
  <c r="K156" i="21" s="1"/>
  <c r="L156" i="21" s="1"/>
  <c r="M156" i="21" s="1"/>
  <c r="N156" i="21" s="1"/>
  <c r="G155" i="21"/>
  <c r="H155" i="21" s="1"/>
  <c r="I155" i="21" s="1"/>
  <c r="J155" i="21" s="1"/>
  <c r="K155" i="21" s="1"/>
  <c r="L155" i="21" s="1"/>
  <c r="M155" i="21" s="1"/>
  <c r="N155" i="21" s="1"/>
  <c r="G154" i="21"/>
  <c r="G153" i="21"/>
  <c r="H153" i="21" s="1"/>
  <c r="I153" i="21" s="1"/>
  <c r="J153" i="21" s="1"/>
  <c r="K153" i="21" s="1"/>
  <c r="L153" i="21" s="1"/>
  <c r="M153" i="21" s="1"/>
  <c r="N153" i="21" s="1"/>
  <c r="G152" i="21"/>
  <c r="H152" i="21" s="1"/>
  <c r="I152" i="21" s="1"/>
  <c r="J152" i="21" s="1"/>
  <c r="K152" i="21" s="1"/>
  <c r="L152" i="21" s="1"/>
  <c r="M152" i="21" s="1"/>
  <c r="N152" i="21" s="1"/>
  <c r="G151" i="21"/>
  <c r="H151" i="21" s="1"/>
  <c r="I151" i="21" s="1"/>
  <c r="J151" i="21" s="1"/>
  <c r="K151" i="21" s="1"/>
  <c r="L151" i="21" s="1"/>
  <c r="M151" i="21" s="1"/>
  <c r="N151" i="21" s="1"/>
  <c r="H149" i="21"/>
  <c r="I149" i="21" s="1"/>
  <c r="N138" i="21"/>
  <c r="N134" i="21"/>
  <c r="N131" i="21"/>
  <c r="G126" i="21"/>
  <c r="H126" i="21" s="1"/>
  <c r="I126" i="21" s="1"/>
  <c r="J126" i="21" s="1"/>
  <c r="K126" i="21" s="1"/>
  <c r="L126" i="21" s="1"/>
  <c r="M126" i="21" s="1"/>
  <c r="N126" i="21" s="1"/>
  <c r="G146" i="21"/>
  <c r="H146" i="21" s="1"/>
  <c r="I146" i="21" s="1"/>
  <c r="J146" i="21" s="1"/>
  <c r="K146" i="21" s="1"/>
  <c r="L146" i="21" s="1"/>
  <c r="M146" i="21" s="1"/>
  <c r="N146" i="21" s="1"/>
  <c r="G145" i="21"/>
  <c r="H145" i="21" s="1"/>
  <c r="I145" i="21" s="1"/>
  <c r="J145" i="21" s="1"/>
  <c r="K145" i="21" s="1"/>
  <c r="L145" i="21" s="1"/>
  <c r="M145" i="21" s="1"/>
  <c r="N145" i="21" s="1"/>
  <c r="G144" i="21"/>
  <c r="H144" i="21" s="1"/>
  <c r="I144" i="21" s="1"/>
  <c r="J144" i="21" s="1"/>
  <c r="K144" i="21" s="1"/>
  <c r="L144" i="21" s="1"/>
  <c r="M144" i="21" s="1"/>
  <c r="G143" i="21"/>
  <c r="H142" i="21"/>
  <c r="I142" i="21" s="1"/>
  <c r="J142" i="21" s="1"/>
  <c r="K142" i="21" s="1"/>
  <c r="L142" i="21" s="1"/>
  <c r="M142" i="21" s="1"/>
  <c r="G142" i="21"/>
  <c r="G141" i="21"/>
  <c r="H141" i="21" s="1"/>
  <c r="I141" i="21" s="1"/>
  <c r="J141" i="21" s="1"/>
  <c r="K141" i="21" s="1"/>
  <c r="L141" i="21" s="1"/>
  <c r="M141" i="21" s="1"/>
  <c r="N141" i="21" s="1"/>
  <c r="G140" i="21"/>
  <c r="H140" i="21" s="1"/>
  <c r="I140" i="21" s="1"/>
  <c r="J140" i="21" s="1"/>
  <c r="K140" i="21" s="1"/>
  <c r="L140" i="21" s="1"/>
  <c r="M140" i="21" s="1"/>
  <c r="N140" i="21" s="1"/>
  <c r="G139" i="21"/>
  <c r="H139" i="21" s="1"/>
  <c r="I139" i="21" s="1"/>
  <c r="J139" i="21" s="1"/>
  <c r="K139" i="21" s="1"/>
  <c r="L139" i="21" s="1"/>
  <c r="M139" i="21" s="1"/>
  <c r="N139" i="21" s="1"/>
  <c r="G138" i="21"/>
  <c r="H138" i="21" s="1"/>
  <c r="I138" i="21" s="1"/>
  <c r="J138" i="21" s="1"/>
  <c r="K138" i="21" s="1"/>
  <c r="L138" i="21" s="1"/>
  <c r="M138" i="21" s="1"/>
  <c r="G137" i="21"/>
  <c r="H137" i="21" s="1"/>
  <c r="I137" i="21" s="1"/>
  <c r="J137" i="21" s="1"/>
  <c r="K137" i="21" s="1"/>
  <c r="L137" i="21" s="1"/>
  <c r="M137" i="21" s="1"/>
  <c r="N137" i="21" s="1"/>
  <c r="G136" i="21"/>
  <c r="H136" i="21" s="1"/>
  <c r="I136" i="21" s="1"/>
  <c r="J136" i="21" s="1"/>
  <c r="K136" i="21" s="1"/>
  <c r="L136" i="21" s="1"/>
  <c r="M136" i="21" s="1"/>
  <c r="N136" i="21" s="1"/>
  <c r="G135" i="21"/>
  <c r="H135" i="21" s="1"/>
  <c r="I135" i="21" s="1"/>
  <c r="J135" i="21" s="1"/>
  <c r="K135" i="21" s="1"/>
  <c r="L135" i="21" s="1"/>
  <c r="M135" i="21" s="1"/>
  <c r="N135" i="21" s="1"/>
  <c r="G134" i="21"/>
  <c r="H134" i="21" s="1"/>
  <c r="I134" i="21" s="1"/>
  <c r="J134" i="21" s="1"/>
  <c r="K134" i="21" s="1"/>
  <c r="L134" i="21" s="1"/>
  <c r="M134" i="21" s="1"/>
  <c r="G133" i="21"/>
  <c r="H133" i="21" s="1"/>
  <c r="I133" i="21" s="1"/>
  <c r="J133" i="21" s="1"/>
  <c r="K133" i="21" s="1"/>
  <c r="L133" i="21" s="1"/>
  <c r="M133" i="21" s="1"/>
  <c r="N133" i="21" s="1"/>
  <c r="G132" i="21"/>
  <c r="H132" i="21" s="1"/>
  <c r="I132" i="21" s="1"/>
  <c r="J132" i="21" s="1"/>
  <c r="K132" i="21" s="1"/>
  <c r="L132" i="21" s="1"/>
  <c r="M132" i="21" s="1"/>
  <c r="N132" i="21" s="1"/>
  <c r="G131" i="21"/>
  <c r="H131" i="21" s="1"/>
  <c r="I131" i="21" s="1"/>
  <c r="J131" i="21" s="1"/>
  <c r="K131" i="21" s="1"/>
  <c r="L131" i="21" s="1"/>
  <c r="M131" i="21" s="1"/>
  <c r="G130" i="21"/>
  <c r="H130" i="21" s="1"/>
  <c r="I130" i="21" s="1"/>
  <c r="J130" i="21" s="1"/>
  <c r="K130" i="21" s="1"/>
  <c r="L130" i="21" s="1"/>
  <c r="M130" i="21" s="1"/>
  <c r="N130" i="21" s="1"/>
  <c r="G129" i="21"/>
  <c r="H129" i="21" s="1"/>
  <c r="I129" i="21" s="1"/>
  <c r="J129" i="21" s="1"/>
  <c r="K129" i="21" s="1"/>
  <c r="L129" i="21" s="1"/>
  <c r="M129" i="21" s="1"/>
  <c r="N129" i="21" s="1"/>
  <c r="G128" i="21"/>
  <c r="H128" i="21" s="1"/>
  <c r="I128" i="21" s="1"/>
  <c r="J128" i="21" s="1"/>
  <c r="K128" i="21" s="1"/>
  <c r="L128" i="21" s="1"/>
  <c r="M128" i="21" s="1"/>
  <c r="N128" i="21" s="1"/>
  <c r="G127" i="21"/>
  <c r="H127" i="21" s="1"/>
  <c r="I127" i="21" s="1"/>
  <c r="J127" i="21" s="1"/>
  <c r="K127" i="21" s="1"/>
  <c r="G125" i="21"/>
  <c r="H125" i="21" s="1"/>
  <c r="I125" i="21" s="1"/>
  <c r="J125" i="21" s="1"/>
  <c r="K125" i="21" s="1"/>
  <c r="L125" i="21" s="1"/>
  <c r="M125" i="21" s="1"/>
  <c r="N125" i="21" s="1"/>
  <c r="G124" i="21"/>
  <c r="H124" i="21" s="1"/>
  <c r="I124" i="21" s="1"/>
  <c r="J124" i="21" s="1"/>
  <c r="K124" i="21" s="1"/>
  <c r="L124" i="21" s="1"/>
  <c r="M124" i="21" s="1"/>
  <c r="N124" i="21" s="1"/>
  <c r="G123" i="21"/>
  <c r="H123" i="21" s="1"/>
  <c r="I123" i="21" s="1"/>
  <c r="J123" i="21" s="1"/>
  <c r="K123" i="21" s="1"/>
  <c r="L123" i="21" s="1"/>
  <c r="M123" i="21" s="1"/>
  <c r="N123" i="21" s="1"/>
  <c r="G122" i="21"/>
  <c r="H122" i="21" s="1"/>
  <c r="I122" i="21" s="1"/>
  <c r="J122" i="21" s="1"/>
  <c r="K122" i="21" s="1"/>
  <c r="L122" i="21" s="1"/>
  <c r="M122" i="21" s="1"/>
  <c r="N122" i="21" s="1"/>
  <c r="G121" i="21"/>
  <c r="H121" i="21" s="1"/>
  <c r="I121" i="21" s="1"/>
  <c r="J121" i="21" s="1"/>
  <c r="K121" i="21" s="1"/>
  <c r="L121" i="21" s="1"/>
  <c r="M121" i="21" s="1"/>
  <c r="N121" i="21" s="1"/>
  <c r="G120" i="21"/>
  <c r="H120" i="21" s="1"/>
  <c r="I120" i="21" s="1"/>
  <c r="J120" i="21" s="1"/>
  <c r="K120" i="21" s="1"/>
  <c r="L120" i="21" s="1"/>
  <c r="M120" i="21" s="1"/>
  <c r="N120" i="21" s="1"/>
  <c r="G119" i="21"/>
  <c r="H119" i="21" s="1"/>
  <c r="I119" i="21" s="1"/>
  <c r="J119" i="21" s="1"/>
  <c r="K119" i="21" s="1"/>
  <c r="L119" i="21" s="1"/>
  <c r="M119" i="21" s="1"/>
  <c r="N119" i="21" s="1"/>
  <c r="G118" i="21"/>
  <c r="H118" i="21" s="1"/>
  <c r="I118" i="21" s="1"/>
  <c r="J118" i="21" s="1"/>
  <c r="K118" i="21" s="1"/>
  <c r="L118" i="21" s="1"/>
  <c r="M118" i="21" s="1"/>
  <c r="N118" i="21" s="1"/>
  <c r="G117" i="21"/>
  <c r="H117" i="21" s="1"/>
  <c r="I117" i="21" s="1"/>
  <c r="J117" i="21" s="1"/>
  <c r="K117" i="21" s="1"/>
  <c r="L117" i="21" s="1"/>
  <c r="M117" i="21" s="1"/>
  <c r="N117" i="21" s="1"/>
  <c r="G116" i="21"/>
  <c r="G115" i="21"/>
  <c r="H115" i="21" s="1"/>
  <c r="I115" i="21" s="1"/>
  <c r="J115" i="21" s="1"/>
  <c r="K115" i="21" s="1"/>
  <c r="L115" i="21" s="1"/>
  <c r="M115" i="21" s="1"/>
  <c r="N115" i="21" s="1"/>
  <c r="G114" i="21"/>
  <c r="H114" i="21" s="1"/>
  <c r="I114" i="21" s="1"/>
  <c r="J114" i="21" s="1"/>
  <c r="K114" i="21" s="1"/>
  <c r="L114" i="21" s="1"/>
  <c r="M114" i="21" s="1"/>
  <c r="N114" i="21" s="1"/>
  <c r="G113" i="21"/>
  <c r="H113" i="21" s="1"/>
  <c r="I113" i="21" s="1"/>
  <c r="J113" i="21" s="1"/>
  <c r="K113" i="21" s="1"/>
  <c r="L113" i="21" s="1"/>
  <c r="M113" i="21" s="1"/>
  <c r="N113" i="21" s="1"/>
  <c r="G112" i="21"/>
  <c r="H112" i="21" s="1"/>
  <c r="I112" i="21" s="1"/>
  <c r="J112" i="21" s="1"/>
  <c r="K112" i="21" s="1"/>
  <c r="L112" i="21" s="1"/>
  <c r="M112" i="21" s="1"/>
  <c r="N112" i="21" s="1"/>
  <c r="G111" i="21"/>
  <c r="H111" i="21" s="1"/>
  <c r="I111" i="21" s="1"/>
  <c r="J111" i="21" s="1"/>
  <c r="K111" i="21" s="1"/>
  <c r="G109" i="21"/>
  <c r="H109" i="21" s="1"/>
  <c r="I109" i="21" s="1"/>
  <c r="J109" i="21" s="1"/>
  <c r="K109" i="21" s="1"/>
  <c r="L109" i="21" s="1"/>
  <c r="M109" i="21" s="1"/>
  <c r="N109" i="21" s="1"/>
  <c r="G108" i="21"/>
  <c r="H108" i="21" s="1"/>
  <c r="I108" i="21" s="1"/>
  <c r="J108" i="21" s="1"/>
  <c r="K108" i="21" s="1"/>
  <c r="L108" i="21" s="1"/>
  <c r="M108" i="21" s="1"/>
  <c r="N108" i="21" s="1"/>
  <c r="G107" i="21"/>
  <c r="H107" i="21" s="1"/>
  <c r="I107" i="21" s="1"/>
  <c r="J107" i="21" s="1"/>
  <c r="K107" i="21" s="1"/>
  <c r="L107" i="21" s="1"/>
  <c r="M107" i="21" s="1"/>
  <c r="N107" i="21" s="1"/>
  <c r="G106" i="21"/>
  <c r="H106" i="21" s="1"/>
  <c r="I106" i="21" s="1"/>
  <c r="J106" i="21" s="1"/>
  <c r="K106" i="21" s="1"/>
  <c r="L106" i="21" s="1"/>
  <c r="M106" i="21" s="1"/>
  <c r="N106" i="21" s="1"/>
  <c r="G105" i="21"/>
  <c r="H105" i="21" s="1"/>
  <c r="I105" i="21" s="1"/>
  <c r="J105" i="21" s="1"/>
  <c r="K105" i="21" s="1"/>
  <c r="L105" i="21" s="1"/>
  <c r="M105" i="21" s="1"/>
  <c r="N105" i="21" s="1"/>
  <c r="F97" i="21"/>
  <c r="G97" i="21" s="1"/>
  <c r="R86" i="21"/>
  <c r="S86" i="21" s="1"/>
  <c r="S87" i="21" s="1"/>
  <c r="F70" i="21"/>
  <c r="G70" i="21" s="1"/>
  <c r="H70" i="21" s="1"/>
  <c r="I70" i="21" s="1"/>
  <c r="J70" i="21" s="1"/>
  <c r="K70" i="21" s="1"/>
  <c r="L70" i="21" s="1"/>
  <c r="M70" i="21" s="1"/>
  <c r="N70" i="21" s="1"/>
  <c r="F69" i="21"/>
  <c r="G69" i="21" s="1"/>
  <c r="H69" i="21" s="1"/>
  <c r="I69" i="21" s="1"/>
  <c r="J69" i="21" s="1"/>
  <c r="G101" i="21"/>
  <c r="H101" i="21" s="1"/>
  <c r="I101" i="21" s="1"/>
  <c r="J101" i="21" s="1"/>
  <c r="K101" i="21" s="1"/>
  <c r="L101" i="21" s="1"/>
  <c r="M101" i="21" s="1"/>
  <c r="N101" i="21" s="1"/>
  <c r="F100" i="21"/>
  <c r="G100" i="21" s="1"/>
  <c r="H100" i="21" s="1"/>
  <c r="I100" i="21" s="1"/>
  <c r="F99" i="21"/>
  <c r="F94" i="21"/>
  <c r="G94" i="21" s="1"/>
  <c r="H94" i="21" s="1"/>
  <c r="F93" i="21"/>
  <c r="G93" i="21" s="1"/>
  <c r="F92" i="21"/>
  <c r="G92" i="21" s="1"/>
  <c r="H92" i="21" s="1"/>
  <c r="I92" i="21" s="1"/>
  <c r="J92" i="21" s="1"/>
  <c r="K92" i="21" s="1"/>
  <c r="L92" i="21" s="1"/>
  <c r="M92" i="21" s="1"/>
  <c r="N92" i="21" s="1"/>
  <c r="F91" i="21"/>
  <c r="F90" i="21"/>
  <c r="G90" i="21" s="1"/>
  <c r="H90" i="21" s="1"/>
  <c r="F89" i="21"/>
  <c r="G89" i="21" s="1"/>
  <c r="F88" i="21"/>
  <c r="G88" i="21" s="1"/>
  <c r="F86" i="21"/>
  <c r="G86" i="21" s="1"/>
  <c r="F84" i="21"/>
  <c r="G84" i="21" s="1"/>
  <c r="H84" i="21" s="1"/>
  <c r="I84" i="21" s="1"/>
  <c r="J84" i="21" s="1"/>
  <c r="K84" i="21" s="1"/>
  <c r="L84" i="21" s="1"/>
  <c r="M84" i="21" s="1"/>
  <c r="N84" i="21" s="1"/>
  <c r="F83" i="21"/>
  <c r="G83" i="21" s="1"/>
  <c r="H83" i="21" s="1"/>
  <c r="I83" i="21" s="1"/>
  <c r="F82" i="21"/>
  <c r="G82" i="21" s="1"/>
  <c r="H82" i="21" s="1"/>
  <c r="I82" i="21" s="1"/>
  <c r="F81" i="21"/>
  <c r="F80" i="21"/>
  <c r="G80" i="21" s="1"/>
  <c r="H80" i="21" s="1"/>
  <c r="I80" i="21" s="1"/>
  <c r="J80" i="21" s="1"/>
  <c r="K80" i="21" s="1"/>
  <c r="L80" i="21" s="1"/>
  <c r="M80" i="21" s="1"/>
  <c r="N80" i="21" s="1"/>
  <c r="F79" i="21"/>
  <c r="G79" i="21" s="1"/>
  <c r="H79" i="21" s="1"/>
  <c r="I79" i="21" s="1"/>
  <c r="F78" i="21"/>
  <c r="G78" i="21" s="1"/>
  <c r="H78" i="21" s="1"/>
  <c r="F77" i="21"/>
  <c r="F76" i="21"/>
  <c r="G76" i="21" s="1"/>
  <c r="H76" i="21" s="1"/>
  <c r="I76" i="21" s="1"/>
  <c r="J76" i="21" s="1"/>
  <c r="K76" i="21" s="1"/>
  <c r="L76" i="21" s="1"/>
  <c r="M76" i="21" s="1"/>
  <c r="N76" i="21" s="1"/>
  <c r="F75" i="21"/>
  <c r="G75" i="21" s="1"/>
  <c r="F74" i="21"/>
  <c r="G74" i="21" s="1"/>
  <c r="H74" i="21" s="1"/>
  <c r="F73" i="21"/>
  <c r="F71" i="21"/>
  <c r="G71" i="21" s="1"/>
  <c r="F68" i="21"/>
  <c r="F67" i="21"/>
  <c r="G67" i="21" s="1"/>
  <c r="F66" i="21"/>
  <c r="G66" i="21" s="1"/>
  <c r="H66" i="21" s="1"/>
  <c r="I66" i="21" s="1"/>
  <c r="J66" i="21" s="1"/>
  <c r="K66" i="21" s="1"/>
  <c r="L66" i="21" s="1"/>
  <c r="M66" i="21" s="1"/>
  <c r="N66" i="21" s="1"/>
  <c r="F65" i="21"/>
  <c r="G65" i="21" s="1"/>
  <c r="F63" i="21"/>
  <c r="G63" i="21" s="1"/>
  <c r="H63" i="21" s="1"/>
  <c r="I63" i="21" s="1"/>
  <c r="J63" i="21" s="1"/>
  <c r="K63" i="21" s="1"/>
  <c r="L63" i="21" s="1"/>
  <c r="M63" i="21" s="1"/>
  <c r="N63" i="21" s="1"/>
  <c r="F62" i="21"/>
  <c r="G62" i="21" s="1"/>
  <c r="H62" i="21" s="1"/>
  <c r="I62" i="21" s="1"/>
  <c r="F61" i="21"/>
  <c r="G61" i="21" s="1"/>
  <c r="H61" i="21" s="1"/>
  <c r="I61" i="21" s="1"/>
  <c r="F56" i="21"/>
  <c r="F59" i="21"/>
  <c r="G59" i="21" s="1"/>
  <c r="F58" i="21"/>
  <c r="G58" i="21" s="1"/>
  <c r="H58" i="21" s="1"/>
  <c r="F57" i="21"/>
  <c r="G57" i="21" s="1"/>
  <c r="H57" i="21" s="1"/>
  <c r="I57" i="21" s="1"/>
  <c r="J57" i="21" s="1"/>
  <c r="K57" i="21" s="1"/>
  <c r="L57" i="21" s="1"/>
  <c r="M57" i="21" s="1"/>
  <c r="N57" i="21" s="1"/>
  <c r="F55" i="21"/>
  <c r="G55" i="21" s="1"/>
  <c r="F54" i="21"/>
  <c r="G54" i="21" s="1"/>
  <c r="H54" i="21" s="1"/>
  <c r="F52" i="21"/>
  <c r="G52" i="21" s="1"/>
  <c r="G51" i="21" s="1"/>
  <c r="F50" i="21"/>
  <c r="G50" i="21" s="1"/>
  <c r="F49" i="21"/>
  <c r="G49" i="21" s="1"/>
  <c r="F48" i="21"/>
  <c r="G48" i="21" s="1"/>
  <c r="F47" i="21"/>
  <c r="F46" i="21"/>
  <c r="G46" i="21" s="1"/>
  <c r="F45" i="21"/>
  <c r="G45" i="21" s="1"/>
  <c r="F44" i="21"/>
  <c r="G44" i="21" s="1"/>
  <c r="F43" i="21"/>
  <c r="F42" i="21"/>
  <c r="G42" i="21" s="1"/>
  <c r="F41" i="21"/>
  <c r="G41" i="21" s="1"/>
  <c r="F40" i="21"/>
  <c r="G40" i="21" s="1"/>
  <c r="F39" i="21"/>
  <c r="G39" i="21" s="1"/>
  <c r="H39" i="21" s="1"/>
  <c r="N32" i="21"/>
  <c r="F37" i="21"/>
  <c r="G37" i="21" s="1"/>
  <c r="F36" i="21"/>
  <c r="G36" i="21" s="1"/>
  <c r="H36" i="21" s="1"/>
  <c r="I36" i="21" s="1"/>
  <c r="J36" i="21" s="1"/>
  <c r="K36" i="21" s="1"/>
  <c r="L36" i="21" s="1"/>
  <c r="M36" i="21" s="1"/>
  <c r="N36" i="21" s="1"/>
  <c r="F35" i="21"/>
  <c r="G35" i="21" s="1"/>
  <c r="F34" i="21"/>
  <c r="F33" i="21"/>
  <c r="G33" i="21" s="1"/>
  <c r="F32" i="21"/>
  <c r="G32" i="21" s="1"/>
  <c r="H32" i="21" s="1"/>
  <c r="I32" i="21" s="1"/>
  <c r="J32" i="21" s="1"/>
  <c r="K32" i="21" s="1"/>
  <c r="L32" i="21" s="1"/>
  <c r="M32" i="21" s="1"/>
  <c r="F31" i="21"/>
  <c r="G31" i="21" s="1"/>
  <c r="F26" i="21"/>
  <c r="G26" i="21" s="1"/>
  <c r="H26" i="21" s="1"/>
  <c r="I26" i="21" s="1"/>
  <c r="J26" i="21" s="1"/>
  <c r="K26" i="21" s="1"/>
  <c r="L26" i="21" s="1"/>
  <c r="M26" i="21" s="1"/>
  <c r="N26" i="21" s="1"/>
  <c r="F23" i="21"/>
  <c r="G23" i="21" s="1"/>
  <c r="H23" i="21" s="1"/>
  <c r="I23" i="21" s="1"/>
  <c r="J23" i="21" s="1"/>
  <c r="K23" i="21" s="1"/>
  <c r="L23" i="21" s="1"/>
  <c r="M23" i="21" s="1"/>
  <c r="N23" i="21" s="1"/>
  <c r="F22" i="21"/>
  <c r="G22" i="21" s="1"/>
  <c r="H22" i="21" s="1"/>
  <c r="I22" i="21" s="1"/>
  <c r="J22" i="21" s="1"/>
  <c r="K22" i="21" s="1"/>
  <c r="L22" i="21" s="1"/>
  <c r="M22" i="21" s="1"/>
  <c r="N22" i="21" s="1"/>
  <c r="F29" i="21"/>
  <c r="G29" i="21" s="1"/>
  <c r="H29" i="21" s="1"/>
  <c r="I29" i="21" s="1"/>
  <c r="J29" i="21" s="1"/>
  <c r="K29" i="21" s="1"/>
  <c r="L29" i="21" s="1"/>
  <c r="M29" i="21" s="1"/>
  <c r="N29" i="21" s="1"/>
  <c r="F28" i="21"/>
  <c r="G28" i="21" s="1"/>
  <c r="H28" i="21" s="1"/>
  <c r="I28" i="21" s="1"/>
  <c r="J28" i="21" s="1"/>
  <c r="K28" i="21" s="1"/>
  <c r="L28" i="21" s="1"/>
  <c r="M28" i="21" s="1"/>
  <c r="N28" i="21" s="1"/>
  <c r="F27" i="21"/>
  <c r="G27" i="21" s="1"/>
  <c r="H27" i="21" s="1"/>
  <c r="I27" i="21" s="1"/>
  <c r="J27" i="21" s="1"/>
  <c r="K27" i="21" s="1"/>
  <c r="L27" i="21" s="1"/>
  <c r="M27" i="21" s="1"/>
  <c r="N27" i="21" s="1"/>
  <c r="F25" i="21"/>
  <c r="G25" i="21" s="1"/>
  <c r="H25" i="21" s="1"/>
  <c r="I25" i="21" s="1"/>
  <c r="J25" i="21" s="1"/>
  <c r="K25" i="21" s="1"/>
  <c r="L25" i="21" s="1"/>
  <c r="M25" i="21" s="1"/>
  <c r="N25" i="21" s="1"/>
  <c r="F24" i="21"/>
  <c r="G24" i="21" s="1"/>
  <c r="H24" i="21" s="1"/>
  <c r="I24" i="21" s="1"/>
  <c r="J24" i="21" s="1"/>
  <c r="K24" i="21" s="1"/>
  <c r="L24" i="21" s="1"/>
  <c r="M24" i="21" s="1"/>
  <c r="N24" i="21" s="1"/>
  <c r="F21" i="21"/>
  <c r="G21" i="21" s="1"/>
  <c r="H21" i="21" s="1"/>
  <c r="I21" i="21" s="1"/>
  <c r="J21" i="21" s="1"/>
  <c r="K21" i="21" s="1"/>
  <c r="L21" i="21" s="1"/>
  <c r="M21" i="21" s="1"/>
  <c r="N21" i="21" s="1"/>
  <c r="F20" i="21"/>
  <c r="G20" i="21" s="1"/>
  <c r="H20" i="21" s="1"/>
  <c r="I20" i="21" s="1"/>
  <c r="J20" i="21" s="1"/>
  <c r="K20" i="21" s="1"/>
  <c r="L20" i="21" s="1"/>
  <c r="M20" i="21" s="1"/>
  <c r="N20" i="21" s="1"/>
  <c r="F19" i="21"/>
  <c r="G19" i="21" s="1"/>
  <c r="H19" i="21" s="1"/>
  <c r="I19" i="21" s="1"/>
  <c r="J19" i="21" s="1"/>
  <c r="K19" i="21" s="1"/>
  <c r="L19" i="21" s="1"/>
  <c r="M19" i="21" s="1"/>
  <c r="N19" i="21" s="1"/>
  <c r="F18" i="21"/>
  <c r="G18" i="21" s="1"/>
  <c r="H18" i="21" s="1"/>
  <c r="I18" i="21" s="1"/>
  <c r="J18" i="21" s="1"/>
  <c r="K18" i="21" s="1"/>
  <c r="L18" i="21" s="1"/>
  <c r="M18" i="21" s="1"/>
  <c r="N18" i="21" s="1"/>
  <c r="F17" i="21"/>
  <c r="G17" i="21" s="1"/>
  <c r="H17" i="21" s="1"/>
  <c r="I17" i="21" s="1"/>
  <c r="J17" i="21" s="1"/>
  <c r="K17" i="21" s="1"/>
  <c r="L17" i="21" s="1"/>
  <c r="M17" i="21" s="1"/>
  <c r="N17" i="21" s="1"/>
  <c r="F16" i="21"/>
  <c r="G16" i="21" s="1"/>
  <c r="H16" i="21" s="1"/>
  <c r="I16" i="21" s="1"/>
  <c r="J16" i="21" s="1"/>
  <c r="K16" i="21" s="1"/>
  <c r="L16" i="21" s="1"/>
  <c r="M16" i="21" s="1"/>
  <c r="N16" i="21" s="1"/>
  <c r="E15" i="21"/>
  <c r="F15" i="21" s="1"/>
  <c r="G15" i="21" s="1"/>
  <c r="H15" i="21" s="1"/>
  <c r="I15" i="21" s="1"/>
  <c r="J15" i="21" s="1"/>
  <c r="K15" i="21" s="1"/>
  <c r="L15" i="21" s="1"/>
  <c r="M15" i="21" s="1"/>
  <c r="N15" i="21" s="1"/>
  <c r="E85" i="21"/>
  <c r="D85" i="21"/>
  <c r="C85" i="21"/>
  <c r="D98" i="21"/>
  <c r="E98" i="21"/>
  <c r="E96" i="21"/>
  <c r="D96" i="21"/>
  <c r="C96" i="21"/>
  <c r="C53" i="21"/>
  <c r="D14" i="21"/>
  <c r="C14" i="21"/>
  <c r="E30" i="21"/>
  <c r="D30" i="21"/>
  <c r="E38" i="21"/>
  <c r="D38" i="21"/>
  <c r="C38" i="21"/>
  <c r="E51" i="21"/>
  <c r="D51" i="21"/>
  <c r="E72" i="21"/>
  <c r="D72" i="21"/>
  <c r="C72" i="21"/>
  <c r="E64" i="21"/>
  <c r="D64" i="21"/>
  <c r="C64" i="21"/>
  <c r="C60" i="21" s="1"/>
  <c r="C241" i="21" a="1"/>
  <c r="C241" i="21" s="1"/>
  <c r="C237" i="21" a="1"/>
  <c r="C237" i="21" s="1"/>
  <c r="C238" i="21" s="1" a="1"/>
  <c r="C238" i="21" s="1"/>
  <c r="G236" i="21" a="1"/>
  <c r="G236" i="21" s="1"/>
  <c r="F235" i="21" a="1"/>
  <c r="F235" i="21" s="1"/>
  <c r="G235" i="21" s="1" a="1"/>
  <c r="G235" i="21" s="1"/>
  <c r="E216" i="21" a="1"/>
  <c r="E216" i="21" s="1"/>
  <c r="E215" i="21" s="1" a="1"/>
  <c r="E215" i="21" s="1"/>
  <c r="D216" i="21" a="1"/>
  <c r="D216" i="21" s="1"/>
  <c r="D215" i="21" s="1" a="1"/>
  <c r="D215" i="21" s="1"/>
  <c r="C216" i="21" a="1"/>
  <c r="C216" i="21" s="1"/>
  <c r="C215" i="21" s="1"/>
  <c r="O210" i="21" a="1"/>
  <c r="O210" i="21" s="1"/>
  <c r="M209" i="21" a="1"/>
  <c r="M209" i="21" s="1"/>
  <c r="L209" i="21" a="1"/>
  <c r="L209" i="21" s="1"/>
  <c r="K209" i="21" a="1"/>
  <c r="K209" i="21" s="1"/>
  <c r="J209" i="21" a="1"/>
  <c r="J209" i="21" s="1"/>
  <c r="I209" i="21" a="1"/>
  <c r="I209" i="21" s="1"/>
  <c r="H209" i="21" a="1"/>
  <c r="H209" i="21" s="1"/>
  <c r="G209" i="21" a="1"/>
  <c r="G209" i="21" s="1"/>
  <c r="F209" i="21" a="1"/>
  <c r="F209" i="21" s="1"/>
  <c r="E209" i="21" a="1"/>
  <c r="E209" i="21" s="1"/>
  <c r="D209" i="21" a="1"/>
  <c r="D209" i="21" s="1"/>
  <c r="F205" i="21" a="1"/>
  <c r="F205" i="21" s="1"/>
  <c r="E205" i="21" a="1"/>
  <c r="E205" i="21" s="1"/>
  <c r="D205" i="21" a="1"/>
  <c r="D205" i="21" s="1"/>
  <c r="F195" i="21" a="1"/>
  <c r="F195" i="21" s="1"/>
  <c r="E195" i="21" a="1"/>
  <c r="E195" i="21" s="1"/>
  <c r="D195" i="21" a="1"/>
  <c r="D195" i="21" s="1"/>
  <c r="F190" i="21" a="1"/>
  <c r="F190" i="21" s="1"/>
  <c r="D190" i="21" a="1"/>
  <c r="D190" i="21" s="1"/>
  <c r="F176" i="21" a="1"/>
  <c r="F176" i="21" s="1"/>
  <c r="E176" i="21" a="1"/>
  <c r="E176" i="21" s="1"/>
  <c r="D176" i="21" a="1"/>
  <c r="D176" i="21" s="1"/>
  <c r="F172" i="21" a="1"/>
  <c r="F172" i="21" s="1"/>
  <c r="E172" i="21" a="1"/>
  <c r="E172" i="21" s="1"/>
  <c r="D172" i="21" a="1"/>
  <c r="D172" i="21" s="1"/>
  <c r="F162" i="21" a="1"/>
  <c r="F162" i="21" s="1"/>
  <c r="E162" i="21" a="1"/>
  <c r="E162" i="21" s="1"/>
  <c r="D162" i="21" a="1"/>
  <c r="D162" i="21" s="1"/>
  <c r="F104" i="21" a="1"/>
  <c r="F104" i="21" s="1"/>
  <c r="E104" i="21" a="1"/>
  <c r="E104" i="21" s="1"/>
  <c r="D104" i="21" a="1"/>
  <c r="D104" i="21" s="1"/>
  <c r="C104" i="21" a="1"/>
  <c r="C104" i="21" s="1"/>
  <c r="E87" i="21" a="1"/>
  <c r="E87" i="21" s="1"/>
  <c r="D87" i="21" a="1"/>
  <c r="D87" i="21" s="1"/>
  <c r="C87" i="21" a="1"/>
  <c r="C87" i="21" s="1"/>
  <c r="E53" i="21" a="1"/>
  <c r="E53" i="21" s="1"/>
  <c r="D53" i="21" a="1"/>
  <c r="D53" i="21" s="1"/>
  <c r="C12" i="21" a="1"/>
  <c r="C12" i="21" s="1"/>
  <c r="C96" i="19"/>
  <c r="C95" i="19" s="1"/>
  <c r="C93" i="19"/>
  <c r="C92" i="19" s="1"/>
  <c r="C90" i="19"/>
  <c r="C77" i="19"/>
  <c r="C69" i="19"/>
  <c r="C65" i="19"/>
  <c r="C64" i="19" s="1"/>
  <c r="C63" i="19" s="1"/>
  <c r="C56" i="19"/>
  <c r="C54" i="19"/>
  <c r="C41" i="19"/>
  <c r="C33" i="19"/>
  <c r="C17" i="19"/>
  <c r="C16" i="19" s="1"/>
  <c r="C15" i="19" s="1"/>
  <c r="C14" i="19" s="1"/>
  <c r="C13" i="19" s="1"/>
  <c r="C12" i="19" s="1"/>
  <c r="M74" i="17"/>
  <c r="M73" i="17" s="1"/>
  <c r="M72" i="17" s="1"/>
  <c r="M71" i="17" s="1"/>
  <c r="M70" i="17" s="1"/>
  <c r="L74" i="17"/>
  <c r="L73" i="17" s="1"/>
  <c r="L72" i="17" s="1"/>
  <c r="L71" i="17" s="1"/>
  <c r="L70" i="17" s="1"/>
  <c r="H74" i="17"/>
  <c r="H73" i="17" s="1"/>
  <c r="H72" i="17" s="1"/>
  <c r="H71" i="17" s="1"/>
  <c r="H70" i="17" s="1"/>
  <c r="G74" i="17"/>
  <c r="G73" i="17" s="1"/>
  <c r="G72" i="17" s="1"/>
  <c r="G71" i="17" s="1"/>
  <c r="G70" i="17" s="1"/>
  <c r="F74" i="17"/>
  <c r="F73" i="17" s="1"/>
  <c r="F72" i="17" s="1"/>
  <c r="F71" i="17" s="1"/>
  <c r="F70" i="17" s="1"/>
  <c r="D74" i="17"/>
  <c r="D73" i="17" s="1"/>
  <c r="D72" i="17" s="1"/>
  <c r="D71" i="17" s="1"/>
  <c r="D70" i="17" s="1"/>
  <c r="C74" i="17"/>
  <c r="C73" i="17" s="1"/>
  <c r="C72" i="17" s="1"/>
  <c r="C71" i="17" s="1"/>
  <c r="C70" i="17" s="1"/>
  <c r="I150" i="17"/>
  <c r="I149" i="17" s="1"/>
  <c r="E150" i="17"/>
  <c r="K150" i="17" s="1"/>
  <c r="K149" i="17" s="1"/>
  <c r="I148" i="17"/>
  <c r="I147" i="17" s="1"/>
  <c r="E148" i="17"/>
  <c r="E147" i="17" s="1"/>
  <c r="I145" i="17"/>
  <c r="E145" i="17"/>
  <c r="K145" i="17" s="1"/>
  <c r="I144" i="17"/>
  <c r="E144" i="17"/>
  <c r="I137" i="17"/>
  <c r="E137" i="17"/>
  <c r="K137" i="17" s="1"/>
  <c r="I136" i="17"/>
  <c r="E136" i="17"/>
  <c r="I135" i="17"/>
  <c r="E135" i="17"/>
  <c r="I134" i="17"/>
  <c r="E134" i="17"/>
  <c r="I132" i="17"/>
  <c r="E132" i="17"/>
  <c r="K132" i="17" s="1"/>
  <c r="I131" i="17"/>
  <c r="E131" i="17"/>
  <c r="K131" i="17" s="1"/>
  <c r="I130" i="17"/>
  <c r="E130" i="17"/>
  <c r="I129" i="17"/>
  <c r="E129" i="17"/>
  <c r="I126" i="17"/>
  <c r="I125" i="17" s="1"/>
  <c r="E126" i="17"/>
  <c r="E125" i="17" s="1"/>
  <c r="I124" i="17"/>
  <c r="E124" i="17"/>
  <c r="K124" i="17" s="1"/>
  <c r="I123" i="17"/>
  <c r="E123" i="17"/>
  <c r="K123" i="17" s="1"/>
  <c r="I122" i="17"/>
  <c r="E122" i="17"/>
  <c r="I120" i="17"/>
  <c r="E120" i="17"/>
  <c r="K120" i="17" s="1"/>
  <c r="I119" i="17"/>
  <c r="E119" i="17"/>
  <c r="I118" i="17"/>
  <c r="E118" i="17"/>
  <c r="I117" i="17"/>
  <c r="E117" i="17"/>
  <c r="I116" i="17"/>
  <c r="E116" i="17"/>
  <c r="K116" i="17" s="1"/>
  <c r="I115" i="17"/>
  <c r="E115" i="17"/>
  <c r="K115" i="17" s="1"/>
  <c r="I114" i="17"/>
  <c r="E114" i="17"/>
  <c r="I113" i="17"/>
  <c r="E113" i="17"/>
  <c r="I112" i="17"/>
  <c r="E112" i="17"/>
  <c r="K112" i="17" s="1"/>
  <c r="I110" i="17"/>
  <c r="E110" i="17"/>
  <c r="K110" i="17" s="1"/>
  <c r="I109" i="17"/>
  <c r="E109" i="17"/>
  <c r="I108" i="17"/>
  <c r="E108" i="17"/>
  <c r="K108" i="17" s="1"/>
  <c r="I106" i="17"/>
  <c r="E106" i="17"/>
  <c r="I105" i="17"/>
  <c r="E105" i="17"/>
  <c r="I104" i="17"/>
  <c r="E104" i="17"/>
  <c r="I103" i="17"/>
  <c r="E103" i="17"/>
  <c r="K103" i="17" s="1"/>
  <c r="I102" i="17"/>
  <c r="E102" i="17"/>
  <c r="I101" i="17"/>
  <c r="E101" i="17"/>
  <c r="I99" i="17"/>
  <c r="E99" i="17"/>
  <c r="I98" i="17"/>
  <c r="E98" i="17"/>
  <c r="E97" i="17" s="1"/>
  <c r="I94" i="17"/>
  <c r="E94" i="17"/>
  <c r="K94" i="17" s="1"/>
  <c r="I93" i="17"/>
  <c r="E93" i="17"/>
  <c r="K93" i="17" s="1"/>
  <c r="I92" i="17"/>
  <c r="E92" i="17"/>
  <c r="I91" i="17"/>
  <c r="E91" i="17"/>
  <c r="I89" i="17"/>
  <c r="E89" i="17"/>
  <c r="I88" i="17"/>
  <c r="E88" i="17"/>
  <c r="I87" i="17"/>
  <c r="E87" i="17"/>
  <c r="I85" i="17"/>
  <c r="E85" i="17"/>
  <c r="K85" i="17" s="1"/>
  <c r="I84" i="17"/>
  <c r="E84" i="17"/>
  <c r="I83" i="17"/>
  <c r="E83" i="17"/>
  <c r="I82" i="17"/>
  <c r="E82" i="17"/>
  <c r="I81" i="17"/>
  <c r="E81" i="17"/>
  <c r="I80" i="17"/>
  <c r="E80" i="17"/>
  <c r="I76" i="17"/>
  <c r="I74" i="17" s="1"/>
  <c r="I73" i="17" s="1"/>
  <c r="I72" i="17" s="1"/>
  <c r="I71" i="17" s="1"/>
  <c r="I70" i="17" s="1"/>
  <c r="E76" i="17"/>
  <c r="K76" i="17" s="1"/>
  <c r="I75" i="17"/>
  <c r="E75" i="17"/>
  <c r="K75" i="17" s="1"/>
  <c r="I69" i="17"/>
  <c r="E69" i="17"/>
  <c r="K69" i="17" s="1"/>
  <c r="I68" i="17"/>
  <c r="E68" i="17"/>
  <c r="I67" i="17"/>
  <c r="E67" i="17"/>
  <c r="I64" i="17"/>
  <c r="E64" i="17"/>
  <c r="K64" i="17" s="1"/>
  <c r="I63" i="17"/>
  <c r="E63" i="17"/>
  <c r="I62" i="17"/>
  <c r="E62" i="17"/>
  <c r="I60" i="17"/>
  <c r="E60" i="17"/>
  <c r="I59" i="17"/>
  <c r="E59" i="17"/>
  <c r="I58" i="17"/>
  <c r="E58" i="17"/>
  <c r="K58" i="17" s="1"/>
  <c r="I54" i="17"/>
  <c r="E54" i="17"/>
  <c r="I53" i="17"/>
  <c r="E53" i="17"/>
  <c r="I52" i="17"/>
  <c r="E52" i="17"/>
  <c r="I50" i="17"/>
  <c r="E50" i="17"/>
  <c r="I49" i="17"/>
  <c r="E49" i="17"/>
  <c r="I48" i="17"/>
  <c r="E48" i="17"/>
  <c r="I46" i="17"/>
  <c r="E46" i="17"/>
  <c r="I45" i="17"/>
  <c r="E45" i="17"/>
  <c r="I44" i="17"/>
  <c r="E44" i="17"/>
  <c r="I42" i="17"/>
  <c r="E42" i="17"/>
  <c r="K42" i="17" s="1"/>
  <c r="K41" i="17" s="1"/>
  <c r="I40" i="17"/>
  <c r="E40" i="17"/>
  <c r="I39" i="17"/>
  <c r="E39" i="17"/>
  <c r="I38" i="17"/>
  <c r="E38" i="17"/>
  <c r="I35" i="17"/>
  <c r="E35" i="17"/>
  <c r="I34" i="17"/>
  <c r="E34" i="17"/>
  <c r="I33" i="17"/>
  <c r="E33" i="17"/>
  <c r="I31" i="17"/>
  <c r="E31" i="17"/>
  <c r="I30" i="17"/>
  <c r="E30" i="17"/>
  <c r="I29" i="17"/>
  <c r="E29" i="17"/>
  <c r="K29" i="17" s="1"/>
  <c r="I26" i="17"/>
  <c r="E26" i="17"/>
  <c r="I25" i="17"/>
  <c r="E25" i="17"/>
  <c r="I24" i="17"/>
  <c r="E24" i="17"/>
  <c r="I22" i="17"/>
  <c r="E22" i="17"/>
  <c r="I21" i="17"/>
  <c r="E21" i="17"/>
  <c r="I20" i="17"/>
  <c r="E20" i="17"/>
  <c r="I18" i="17"/>
  <c r="I17" i="17" s="1"/>
  <c r="E18" i="17"/>
  <c r="E17" i="17" s="1"/>
  <c r="I16" i="17"/>
  <c r="E16" i="17"/>
  <c r="I15" i="17"/>
  <c r="E15" i="17"/>
  <c r="E14" i="17" s="1"/>
  <c r="I13" i="17"/>
  <c r="I12" i="17"/>
  <c r="H14" i="17"/>
  <c r="E13" i="17"/>
  <c r="E12" i="17"/>
  <c r="I11" i="17"/>
  <c r="G11" i="17"/>
  <c r="G10" i="17" s="1"/>
  <c r="D11" i="17"/>
  <c r="E11" i="17" s="1"/>
  <c r="M149" i="17"/>
  <c r="L149" i="17"/>
  <c r="H149" i="17"/>
  <c r="G149" i="17"/>
  <c r="F149" i="17"/>
  <c r="D149" i="17"/>
  <c r="C149" i="17"/>
  <c r="M147" i="17"/>
  <c r="L147" i="17"/>
  <c r="H147" i="17"/>
  <c r="G147" i="17"/>
  <c r="F147" i="17"/>
  <c r="D147" i="17"/>
  <c r="C147" i="17"/>
  <c r="M143" i="17"/>
  <c r="M142" i="17" s="1"/>
  <c r="L143" i="17"/>
  <c r="L142" i="17" s="1"/>
  <c r="H143" i="17"/>
  <c r="H142" i="17" s="1"/>
  <c r="G143" i="17"/>
  <c r="G142" i="17" s="1"/>
  <c r="F143" i="17"/>
  <c r="F142" i="17" s="1"/>
  <c r="D143" i="17"/>
  <c r="D142" i="17" s="1"/>
  <c r="C143" i="17"/>
  <c r="C142" i="17" s="1"/>
  <c r="M133" i="17"/>
  <c r="L133" i="17"/>
  <c r="H133" i="17"/>
  <c r="G133" i="17"/>
  <c r="F133" i="17"/>
  <c r="D133" i="17"/>
  <c r="C133" i="17"/>
  <c r="M128" i="17"/>
  <c r="L128" i="17"/>
  <c r="H128" i="17"/>
  <c r="G128" i="17"/>
  <c r="G127" i="17" s="1"/>
  <c r="F128" i="17"/>
  <c r="D128" i="17"/>
  <c r="C128" i="17"/>
  <c r="M125" i="17"/>
  <c r="L125" i="17"/>
  <c r="H125" i="17"/>
  <c r="G125" i="17"/>
  <c r="F125" i="17"/>
  <c r="D125" i="17"/>
  <c r="C125" i="17"/>
  <c r="M121" i="17"/>
  <c r="L121" i="17"/>
  <c r="H121" i="17"/>
  <c r="G121" i="17"/>
  <c r="F121" i="17"/>
  <c r="D121" i="17"/>
  <c r="C121" i="17"/>
  <c r="M111" i="17"/>
  <c r="L111" i="17"/>
  <c r="H111" i="17"/>
  <c r="G111" i="17"/>
  <c r="F111" i="17"/>
  <c r="D111" i="17"/>
  <c r="C111" i="17"/>
  <c r="M107" i="17"/>
  <c r="L107" i="17"/>
  <c r="H107" i="17"/>
  <c r="G107" i="17"/>
  <c r="F107" i="17"/>
  <c r="D107" i="17"/>
  <c r="C107" i="17"/>
  <c r="M100" i="17"/>
  <c r="L100" i="17"/>
  <c r="H100" i="17"/>
  <c r="G100" i="17"/>
  <c r="F100" i="17"/>
  <c r="D100" i="17"/>
  <c r="C100" i="17"/>
  <c r="M97" i="17"/>
  <c r="L97" i="17"/>
  <c r="H97" i="17"/>
  <c r="G97" i="17"/>
  <c r="F97" i="17"/>
  <c r="D97" i="17"/>
  <c r="C97" i="17"/>
  <c r="M90" i="17"/>
  <c r="L90" i="17"/>
  <c r="H90" i="17"/>
  <c r="G90" i="17"/>
  <c r="F90" i="17"/>
  <c r="D90" i="17"/>
  <c r="C90" i="17"/>
  <c r="M86" i="17"/>
  <c r="L86" i="17"/>
  <c r="H86" i="17"/>
  <c r="G86" i="17"/>
  <c r="F86" i="17"/>
  <c r="D86" i="17"/>
  <c r="C86" i="17"/>
  <c r="M79" i="17"/>
  <c r="L79" i="17"/>
  <c r="H79" i="17"/>
  <c r="G79" i="17"/>
  <c r="F79" i="17"/>
  <c r="D79" i="17"/>
  <c r="C79" i="17"/>
  <c r="M66" i="17"/>
  <c r="M65" i="17" s="1"/>
  <c r="L66" i="17"/>
  <c r="L65" i="17" s="1"/>
  <c r="H66" i="17"/>
  <c r="H65" i="17" s="1"/>
  <c r="G66" i="17"/>
  <c r="G65" i="17" s="1"/>
  <c r="F66" i="17"/>
  <c r="F65" i="17" s="1"/>
  <c r="D66" i="17"/>
  <c r="D65" i="17" s="1"/>
  <c r="C66" i="17"/>
  <c r="C65" i="17" s="1"/>
  <c r="M61" i="17"/>
  <c r="L61" i="17"/>
  <c r="H61" i="17"/>
  <c r="G61" i="17"/>
  <c r="F61" i="17"/>
  <c r="D61" i="17"/>
  <c r="C61" i="17"/>
  <c r="M57" i="17"/>
  <c r="L57" i="17"/>
  <c r="H57" i="17"/>
  <c r="G57" i="17"/>
  <c r="F57" i="17"/>
  <c r="D57" i="17"/>
  <c r="C57" i="17"/>
  <c r="M51" i="17"/>
  <c r="L51" i="17"/>
  <c r="H51" i="17"/>
  <c r="G51" i="17"/>
  <c r="F51" i="17"/>
  <c r="D51" i="17"/>
  <c r="C51" i="17"/>
  <c r="M47" i="17"/>
  <c r="L47" i="17"/>
  <c r="H47" i="17"/>
  <c r="G47" i="17"/>
  <c r="F47" i="17"/>
  <c r="D47" i="17"/>
  <c r="C47" i="17"/>
  <c r="M43" i="17"/>
  <c r="L43" i="17"/>
  <c r="H43" i="17"/>
  <c r="G43" i="17"/>
  <c r="F43" i="17"/>
  <c r="D43" i="17"/>
  <c r="C43" i="17"/>
  <c r="M41" i="17"/>
  <c r="L41" i="17"/>
  <c r="I41" i="17"/>
  <c r="H41" i="17"/>
  <c r="G41" i="17"/>
  <c r="F41" i="17"/>
  <c r="D41" i="17"/>
  <c r="C41" i="17"/>
  <c r="M37" i="17"/>
  <c r="L37" i="17"/>
  <c r="H37" i="17"/>
  <c r="G37" i="17"/>
  <c r="F37" i="17"/>
  <c r="D37" i="17"/>
  <c r="C37" i="17"/>
  <c r="M32" i="17"/>
  <c r="L32" i="17"/>
  <c r="H32" i="17"/>
  <c r="G32" i="17"/>
  <c r="F32" i="17"/>
  <c r="D32" i="17"/>
  <c r="C32" i="17"/>
  <c r="M28" i="17"/>
  <c r="L28" i="17"/>
  <c r="H28" i="17"/>
  <c r="G28" i="17"/>
  <c r="F28" i="17"/>
  <c r="D28" i="17"/>
  <c r="C28" i="17"/>
  <c r="M23" i="17"/>
  <c r="L23" i="17"/>
  <c r="H23" i="17"/>
  <c r="G23" i="17"/>
  <c r="F23" i="17"/>
  <c r="D23" i="17"/>
  <c r="C23" i="17"/>
  <c r="M19" i="17"/>
  <c r="L19" i="17"/>
  <c r="H19" i="17"/>
  <c r="G19" i="17"/>
  <c r="F19" i="17"/>
  <c r="D19" i="17"/>
  <c r="C19" i="17"/>
  <c r="M17" i="17"/>
  <c r="L17" i="17"/>
  <c r="H17" i="17"/>
  <c r="G17" i="17"/>
  <c r="F17" i="17"/>
  <c r="D17" i="17"/>
  <c r="C17" i="17"/>
  <c r="M14" i="17"/>
  <c r="L14" i="17"/>
  <c r="G14" i="17"/>
  <c r="F14" i="17"/>
  <c r="D14" i="17"/>
  <c r="C14" i="17"/>
  <c r="M10" i="17"/>
  <c r="L10" i="17"/>
  <c r="H10" i="17"/>
  <c r="F10" i="17"/>
  <c r="C10" i="17"/>
  <c r="B143" i="17"/>
  <c r="B142" i="17" s="1"/>
  <c r="B147" i="17"/>
  <c r="B149" i="17"/>
  <c r="B10" i="17"/>
  <c r="B14" i="17"/>
  <c r="B17" i="17"/>
  <c r="B19" i="17"/>
  <c r="B23" i="17"/>
  <c r="B28" i="17"/>
  <c r="B32" i="17"/>
  <c r="B37" i="17"/>
  <c r="B41" i="17"/>
  <c r="B43" i="17"/>
  <c r="B47" i="17"/>
  <c r="B51" i="17"/>
  <c r="B57" i="17"/>
  <c r="B61" i="17"/>
  <c r="B66" i="17"/>
  <c r="B65" i="17" s="1"/>
  <c r="B74" i="17"/>
  <c r="B73" i="17" s="1"/>
  <c r="B72" i="17" s="1"/>
  <c r="B71" i="17" s="1"/>
  <c r="B70" i="17" s="1"/>
  <c r="B79" i="17"/>
  <c r="B86" i="17"/>
  <c r="B90" i="17"/>
  <c r="B97" i="17"/>
  <c r="B100" i="17"/>
  <c r="B107" i="17"/>
  <c r="B111" i="17"/>
  <c r="B121" i="17"/>
  <c r="B125" i="17"/>
  <c r="B128" i="17"/>
  <c r="B133" i="17"/>
  <c r="K101" i="15"/>
  <c r="K100" i="15"/>
  <c r="K99" i="15"/>
  <c r="M99" i="15" s="1"/>
  <c r="K96" i="15"/>
  <c r="K95" i="15" s="1"/>
  <c r="K93" i="15"/>
  <c r="K91" i="15"/>
  <c r="M91" i="15" s="1"/>
  <c r="L91" i="15" s="1"/>
  <c r="K90" i="15"/>
  <c r="M90" i="15" s="1"/>
  <c r="L90" i="15" s="1"/>
  <c r="K89" i="15"/>
  <c r="M89" i="15" s="1"/>
  <c r="L89" i="15" s="1"/>
  <c r="K88" i="15"/>
  <c r="K87" i="15"/>
  <c r="K86" i="15"/>
  <c r="M86" i="15" s="1"/>
  <c r="L86" i="15" s="1"/>
  <c r="K85" i="15"/>
  <c r="M85" i="15" s="1"/>
  <c r="L85" i="15" s="1"/>
  <c r="K84" i="15"/>
  <c r="K83" i="15"/>
  <c r="K82" i="15"/>
  <c r="K81" i="15"/>
  <c r="M81" i="15" s="1"/>
  <c r="L81" i="15" s="1"/>
  <c r="K80" i="15"/>
  <c r="K78" i="15"/>
  <c r="K77" i="15"/>
  <c r="K76" i="15"/>
  <c r="M76" i="15" s="1"/>
  <c r="L76" i="15" s="1"/>
  <c r="K75" i="15"/>
  <c r="K74" i="15"/>
  <c r="K73" i="15"/>
  <c r="K72" i="15"/>
  <c r="M72" i="15" s="1"/>
  <c r="K70" i="15"/>
  <c r="K69" i="15"/>
  <c r="K68" i="15"/>
  <c r="K64" i="15"/>
  <c r="M64" i="15" s="1"/>
  <c r="K63" i="15"/>
  <c r="K62" i="15"/>
  <c r="K61" i="15"/>
  <c r="K60" i="15"/>
  <c r="M60" i="15" s="1"/>
  <c r="K59" i="15"/>
  <c r="K57" i="15"/>
  <c r="M57" i="15" s="1"/>
  <c r="K55" i="15"/>
  <c r="M55" i="15" s="1"/>
  <c r="L55" i="15" s="1"/>
  <c r="K54" i="15"/>
  <c r="M54" i="15" s="1"/>
  <c r="L54" i="15" s="1"/>
  <c r="K53" i="15"/>
  <c r="K52" i="15"/>
  <c r="M52" i="15" s="1"/>
  <c r="L52" i="15" s="1"/>
  <c r="K51" i="15"/>
  <c r="K50" i="15"/>
  <c r="M50" i="15" s="1"/>
  <c r="L50" i="15" s="1"/>
  <c r="K49" i="15"/>
  <c r="M49" i="15" s="1"/>
  <c r="L49" i="15" s="1"/>
  <c r="K48" i="15"/>
  <c r="M48" i="15" s="1"/>
  <c r="L48" i="15" s="1"/>
  <c r="K47" i="15"/>
  <c r="M47" i="15" s="1"/>
  <c r="L47" i="15" s="1"/>
  <c r="K46" i="15"/>
  <c r="M46" i="15" s="1"/>
  <c r="L46" i="15" s="1"/>
  <c r="K45" i="15"/>
  <c r="K44" i="15"/>
  <c r="M44" i="15" s="1"/>
  <c r="K42" i="15"/>
  <c r="K41" i="15"/>
  <c r="K40" i="15"/>
  <c r="M40" i="15" s="1"/>
  <c r="L40" i="15" s="1"/>
  <c r="K39" i="15"/>
  <c r="K38" i="15"/>
  <c r="M38" i="15" s="1"/>
  <c r="L38" i="15" s="1"/>
  <c r="K37" i="15"/>
  <c r="M37" i="15" s="1"/>
  <c r="L37" i="15" s="1"/>
  <c r="K36" i="15"/>
  <c r="M36" i="15" s="1"/>
  <c r="L36" i="15" s="1"/>
  <c r="K34" i="15"/>
  <c r="K33" i="15"/>
  <c r="K32" i="15"/>
  <c r="L32" i="15" s="1"/>
  <c r="K31" i="15"/>
  <c r="L31" i="15" s="1"/>
  <c r="K30" i="15"/>
  <c r="K29" i="15"/>
  <c r="K28" i="15"/>
  <c r="L28" i="15" s="1"/>
  <c r="K27" i="15"/>
  <c r="L27" i="15" s="1"/>
  <c r="K26" i="15"/>
  <c r="K25" i="15"/>
  <c r="K24" i="15"/>
  <c r="L24" i="15" s="1"/>
  <c r="K23" i="15"/>
  <c r="L23" i="15" s="1"/>
  <c r="K22" i="15"/>
  <c r="K21" i="15"/>
  <c r="K20" i="15"/>
  <c r="L63" i="15"/>
  <c r="L34" i="15"/>
  <c r="L33" i="15"/>
  <c r="L30" i="15"/>
  <c r="L29" i="15"/>
  <c r="L26" i="15"/>
  <c r="L25" i="15"/>
  <c r="L22" i="15"/>
  <c r="M101" i="15"/>
  <c r="L101" i="15" s="1"/>
  <c r="M100" i="15"/>
  <c r="L100" i="15" s="1"/>
  <c r="M93" i="15"/>
  <c r="L93" i="15" s="1"/>
  <c r="M87" i="15"/>
  <c r="L87" i="15" s="1"/>
  <c r="M83" i="15"/>
  <c r="L83" i="15" s="1"/>
  <c r="M82" i="15"/>
  <c r="L82" i="15" s="1"/>
  <c r="M78" i="15"/>
  <c r="L78" i="15" s="1"/>
  <c r="M77" i="15"/>
  <c r="M74" i="15"/>
  <c r="L74" i="15" s="1"/>
  <c r="M70" i="15"/>
  <c r="L70" i="15" s="1"/>
  <c r="M69" i="15"/>
  <c r="M63" i="15"/>
  <c r="M62" i="15"/>
  <c r="L62" i="15" s="1"/>
  <c r="M59" i="15"/>
  <c r="L59" i="15" s="1"/>
  <c r="M53" i="15"/>
  <c r="L53" i="15" s="1"/>
  <c r="M51" i="15"/>
  <c r="L51" i="15" s="1"/>
  <c r="M45" i="15"/>
  <c r="L45" i="15" s="1"/>
  <c r="M42" i="15"/>
  <c r="L42" i="15" s="1"/>
  <c r="M41" i="15"/>
  <c r="L41" i="15" s="1"/>
  <c r="M34" i="15"/>
  <c r="M33" i="15"/>
  <c r="M32" i="15"/>
  <c r="M31" i="15"/>
  <c r="M30" i="15"/>
  <c r="M29" i="15"/>
  <c r="M28" i="15"/>
  <c r="M27" i="15"/>
  <c r="M26" i="15"/>
  <c r="M25" i="15"/>
  <c r="M24" i="15"/>
  <c r="M23" i="15"/>
  <c r="M22" i="15"/>
  <c r="M21" i="15"/>
  <c r="L21" i="15" s="1"/>
  <c r="M20" i="15"/>
  <c r="K98" i="15"/>
  <c r="K97" i="15" s="1"/>
  <c r="J98" i="15"/>
  <c r="J97" i="15" s="1"/>
  <c r="I98" i="15"/>
  <c r="I97" i="15" s="1"/>
  <c r="H98" i="15"/>
  <c r="H97" i="15" s="1"/>
  <c r="H94" i="15" s="1"/>
  <c r="G98" i="15"/>
  <c r="F98" i="15"/>
  <c r="G97" i="15"/>
  <c r="F97" i="15"/>
  <c r="J95" i="15"/>
  <c r="I95" i="15"/>
  <c r="H95" i="15"/>
  <c r="G95" i="15"/>
  <c r="F95" i="15"/>
  <c r="G94" i="15"/>
  <c r="F94" i="15"/>
  <c r="K92" i="15"/>
  <c r="J92" i="15"/>
  <c r="I92" i="15"/>
  <c r="H92" i="15"/>
  <c r="G92" i="15"/>
  <c r="F92" i="15"/>
  <c r="J79" i="15"/>
  <c r="I79" i="15"/>
  <c r="H79" i="15"/>
  <c r="G79" i="15"/>
  <c r="F79" i="15"/>
  <c r="J71" i="15"/>
  <c r="I71" i="15"/>
  <c r="H71" i="15"/>
  <c r="G71" i="15"/>
  <c r="F71" i="15"/>
  <c r="F66" i="15" s="1"/>
  <c r="F65" i="15" s="1"/>
  <c r="K67" i="15"/>
  <c r="J67" i="15"/>
  <c r="I67" i="15"/>
  <c r="H67" i="15"/>
  <c r="G67" i="15"/>
  <c r="F67" i="15"/>
  <c r="G66" i="15"/>
  <c r="G65" i="15" s="1"/>
  <c r="J58" i="15"/>
  <c r="I58" i="15"/>
  <c r="H58" i="15"/>
  <c r="G58" i="15"/>
  <c r="F58" i="15"/>
  <c r="K56" i="15"/>
  <c r="J56" i="15"/>
  <c r="I56" i="15"/>
  <c r="H56" i="15"/>
  <c r="G56" i="15"/>
  <c r="F56" i="15"/>
  <c r="J43" i="15"/>
  <c r="I43" i="15"/>
  <c r="H43" i="15"/>
  <c r="G43" i="15"/>
  <c r="F43" i="15"/>
  <c r="J35" i="15"/>
  <c r="I35" i="15"/>
  <c r="H35" i="15"/>
  <c r="G35" i="15"/>
  <c r="G18" i="15" s="1"/>
  <c r="G17" i="15" s="1"/>
  <c r="F35" i="15"/>
  <c r="F18" i="15" s="1"/>
  <c r="F17" i="15" s="1"/>
  <c r="J19" i="15"/>
  <c r="I19" i="15"/>
  <c r="I18" i="15" s="1"/>
  <c r="I17" i="15" s="1"/>
  <c r="H19" i="15"/>
  <c r="G19" i="15"/>
  <c r="F19" i="15"/>
  <c r="I101" i="15"/>
  <c r="I100" i="15"/>
  <c r="I99" i="15"/>
  <c r="I96" i="15"/>
  <c r="I93" i="15"/>
  <c r="I91" i="15"/>
  <c r="I90" i="15"/>
  <c r="I89" i="15"/>
  <c r="I88" i="15"/>
  <c r="I87" i="15"/>
  <c r="I86" i="15"/>
  <c r="I85" i="15"/>
  <c r="I84" i="15"/>
  <c r="I83" i="15"/>
  <c r="I82" i="15"/>
  <c r="I81" i="15"/>
  <c r="I80" i="15"/>
  <c r="I78" i="15"/>
  <c r="I77" i="15"/>
  <c r="I76" i="15"/>
  <c r="I75" i="15"/>
  <c r="I74" i="15"/>
  <c r="I73" i="15"/>
  <c r="I72" i="15"/>
  <c r="I70" i="15"/>
  <c r="I69" i="15"/>
  <c r="I68" i="15"/>
  <c r="I64" i="15"/>
  <c r="I63" i="15"/>
  <c r="I62" i="15"/>
  <c r="I61" i="15"/>
  <c r="I60" i="15"/>
  <c r="I59" i="15"/>
  <c r="I57" i="15"/>
  <c r="I55" i="15"/>
  <c r="I54" i="15"/>
  <c r="I53" i="15"/>
  <c r="I52" i="15"/>
  <c r="I51" i="15"/>
  <c r="I50" i="15"/>
  <c r="I49" i="15"/>
  <c r="I48" i="15"/>
  <c r="I47" i="15"/>
  <c r="I46" i="15"/>
  <c r="I45" i="15"/>
  <c r="I44" i="15"/>
  <c r="I42" i="15"/>
  <c r="I41" i="15"/>
  <c r="I40" i="15"/>
  <c r="I39" i="15"/>
  <c r="I38" i="15"/>
  <c r="I37" i="15"/>
  <c r="I36" i="15"/>
  <c r="I34" i="15"/>
  <c r="I33" i="15"/>
  <c r="I32" i="15"/>
  <c r="I31" i="15"/>
  <c r="I30" i="15"/>
  <c r="I29" i="15"/>
  <c r="I28" i="15"/>
  <c r="I27" i="15"/>
  <c r="I26" i="15"/>
  <c r="I25" i="15"/>
  <c r="I24" i="15"/>
  <c r="I23" i="15"/>
  <c r="I22" i="15"/>
  <c r="I21" i="15"/>
  <c r="I20" i="15"/>
  <c r="H101" i="15"/>
  <c r="H100" i="15"/>
  <c r="H99" i="15"/>
  <c r="H96" i="15"/>
  <c r="H93" i="15"/>
  <c r="H91" i="15"/>
  <c r="H90" i="15"/>
  <c r="H89" i="15"/>
  <c r="H88" i="15"/>
  <c r="H87" i="15"/>
  <c r="H86" i="15"/>
  <c r="H85" i="15"/>
  <c r="H84" i="15"/>
  <c r="H83" i="15"/>
  <c r="H82" i="15"/>
  <c r="H81" i="15"/>
  <c r="H80" i="15"/>
  <c r="H78" i="15"/>
  <c r="H77" i="15"/>
  <c r="H76" i="15"/>
  <c r="H75" i="15"/>
  <c r="H74" i="15"/>
  <c r="H73" i="15"/>
  <c r="H72" i="15"/>
  <c r="H70" i="15"/>
  <c r="H69" i="15"/>
  <c r="H68" i="15"/>
  <c r="H64" i="15"/>
  <c r="H63" i="15"/>
  <c r="H62" i="15"/>
  <c r="H61" i="15"/>
  <c r="H60" i="15"/>
  <c r="H59" i="15"/>
  <c r="H57" i="15"/>
  <c r="H55" i="15"/>
  <c r="H54" i="15"/>
  <c r="H53" i="15"/>
  <c r="H52" i="15"/>
  <c r="H51" i="15"/>
  <c r="H50" i="15"/>
  <c r="H49" i="15"/>
  <c r="H48" i="15"/>
  <c r="H47" i="15"/>
  <c r="H46" i="15"/>
  <c r="H45" i="15"/>
  <c r="H44" i="15"/>
  <c r="H42" i="15"/>
  <c r="H41" i="15"/>
  <c r="H40" i="15"/>
  <c r="H39" i="15"/>
  <c r="H38" i="15"/>
  <c r="H37" i="15"/>
  <c r="H36" i="15"/>
  <c r="H34" i="15"/>
  <c r="H33" i="15"/>
  <c r="H32" i="15"/>
  <c r="H31" i="15"/>
  <c r="H30" i="15"/>
  <c r="H29" i="15"/>
  <c r="H28" i="15"/>
  <c r="H27" i="15"/>
  <c r="H26" i="15"/>
  <c r="H25" i="15"/>
  <c r="H24" i="15"/>
  <c r="H23" i="15"/>
  <c r="H22" i="15"/>
  <c r="H21" i="15"/>
  <c r="H20" i="15"/>
  <c r="E79" i="15"/>
  <c r="E95" i="15"/>
  <c r="E98" i="15"/>
  <c r="E97" i="15" s="1"/>
  <c r="E94" i="15" s="1"/>
  <c r="E71" i="15"/>
  <c r="E92" i="15"/>
  <c r="E67" i="15"/>
  <c r="E66" i="15" s="1"/>
  <c r="E65" i="15" s="1"/>
  <c r="E58" i="15"/>
  <c r="E56" i="15"/>
  <c r="E18" i="15" s="1"/>
  <c r="E17" i="15" s="1"/>
  <c r="E43" i="15"/>
  <c r="E35" i="15"/>
  <c r="E19" i="15"/>
  <c r="E32" i="17" l="1"/>
  <c r="I143" i="17"/>
  <c r="I142" i="17" s="1"/>
  <c r="C78" i="17"/>
  <c r="D78" i="17"/>
  <c r="B78" i="17"/>
  <c r="D27" i="17"/>
  <c r="E43" i="17"/>
  <c r="K119" i="17"/>
  <c r="K13" i="17"/>
  <c r="K45" i="17"/>
  <c r="K53" i="17"/>
  <c r="K63" i="17"/>
  <c r="D10" i="17"/>
  <c r="E47" i="17"/>
  <c r="M27" i="17"/>
  <c r="M9" i="17" s="1"/>
  <c r="M8" i="17" s="1"/>
  <c r="E37" i="17"/>
  <c r="E86" i="17"/>
  <c r="I32" i="17"/>
  <c r="D146" i="17"/>
  <c r="D141" i="17" s="1"/>
  <c r="D140" i="17" s="1"/>
  <c r="D139" i="17" s="1"/>
  <c r="D138" i="17" s="1"/>
  <c r="K25" i="17"/>
  <c r="K62" i="17"/>
  <c r="G78" i="17"/>
  <c r="I23" i="17"/>
  <c r="K74" i="17"/>
  <c r="K73" i="17" s="1"/>
  <c r="E100" i="17"/>
  <c r="K18" i="17"/>
  <c r="K17" i="17" s="1"/>
  <c r="K38" i="17"/>
  <c r="E28" i="17"/>
  <c r="E27" i="17" s="1"/>
  <c r="E79" i="17"/>
  <c r="K21" i="17"/>
  <c r="I57" i="17"/>
  <c r="E66" i="17"/>
  <c r="E65" i="17" s="1"/>
  <c r="I133" i="17"/>
  <c r="I146" i="17"/>
  <c r="I141" i="17" s="1"/>
  <c r="I140" i="17" s="1"/>
  <c r="I139" i="17" s="1"/>
  <c r="I138" i="17" s="1"/>
  <c r="G36" i="17"/>
  <c r="K12" i="17"/>
  <c r="E19" i="17"/>
  <c r="K31" i="17"/>
  <c r="K59" i="17"/>
  <c r="K81" i="17"/>
  <c r="K98" i="17"/>
  <c r="K113" i="17"/>
  <c r="K129" i="17"/>
  <c r="E133" i="17"/>
  <c r="E51" i="17"/>
  <c r="C127" i="17"/>
  <c r="I90" i="17"/>
  <c r="I100" i="17"/>
  <c r="M95" i="17"/>
  <c r="D127" i="17"/>
  <c r="E10" i="17"/>
  <c r="K26" i="17"/>
  <c r="B146" i="17"/>
  <c r="B141" i="17" s="1"/>
  <c r="B140" i="17" s="1"/>
  <c r="B139" i="17" s="1"/>
  <c r="B138" i="17" s="1"/>
  <c r="I97" i="17"/>
  <c r="B27" i="17"/>
  <c r="B9" i="17" s="1"/>
  <c r="B8" i="17" s="1"/>
  <c r="K84" i="17"/>
  <c r="K99" i="17"/>
  <c r="E61" i="17"/>
  <c r="K39" i="17"/>
  <c r="K92" i="17"/>
  <c r="C56" i="17"/>
  <c r="C55" i="17" s="1"/>
  <c r="K136" i="17"/>
  <c r="H36" i="17"/>
  <c r="I79" i="17"/>
  <c r="E107" i="17"/>
  <c r="K122" i="17"/>
  <c r="K121" i="17" s="1"/>
  <c r="E74" i="17"/>
  <c r="E73" i="17" s="1"/>
  <c r="B56" i="17"/>
  <c r="B55" i="17" s="1"/>
  <c r="L127" i="17"/>
  <c r="H146" i="17"/>
  <c r="H141" i="17" s="1"/>
  <c r="H140" i="17" s="1"/>
  <c r="H139" i="17" s="1"/>
  <c r="H138" i="17" s="1"/>
  <c r="K68" i="17"/>
  <c r="H78" i="17"/>
  <c r="L56" i="17"/>
  <c r="L55" i="17" s="1"/>
  <c r="H27" i="17"/>
  <c r="H9" i="17" s="1"/>
  <c r="H8" i="17" s="1"/>
  <c r="C36" i="17"/>
  <c r="M56" i="17"/>
  <c r="M55" i="17" s="1"/>
  <c r="L78" i="17"/>
  <c r="I28" i="17"/>
  <c r="I27" i="17" s="1"/>
  <c r="K46" i="17"/>
  <c r="K54" i="17"/>
  <c r="K83" i="17"/>
  <c r="E90" i="17"/>
  <c r="K105" i="17"/>
  <c r="K135" i="17"/>
  <c r="B127" i="17"/>
  <c r="K30" i="17"/>
  <c r="K101" i="17"/>
  <c r="I128" i="17"/>
  <c r="H127" i="17"/>
  <c r="K15" i="17"/>
  <c r="K49" i="17"/>
  <c r="B95" i="17"/>
  <c r="E57" i="17"/>
  <c r="E23" i="17"/>
  <c r="K109" i="17"/>
  <c r="K107" i="17" s="1"/>
  <c r="M127" i="17"/>
  <c r="I47" i="17"/>
  <c r="I19" i="17"/>
  <c r="G56" i="17"/>
  <c r="G55" i="17" s="1"/>
  <c r="K60" i="17"/>
  <c r="K34" i="17"/>
  <c r="K44" i="17"/>
  <c r="K88" i="17"/>
  <c r="B36" i="17"/>
  <c r="F27" i="17"/>
  <c r="F9" i="17" s="1"/>
  <c r="F8" i="17" s="1"/>
  <c r="M78" i="17"/>
  <c r="K11" i="17"/>
  <c r="K20" i="17"/>
  <c r="K35" i="17"/>
  <c r="I61" i="17"/>
  <c r="K82" i="17"/>
  <c r="K104" i="17"/>
  <c r="K118" i="17"/>
  <c r="K134" i="17"/>
  <c r="K148" i="17"/>
  <c r="K147" i="17" s="1"/>
  <c r="K146" i="17" s="1"/>
  <c r="H231" i="21"/>
  <c r="I231" i="21" s="1"/>
  <c r="G231" i="21"/>
  <c r="G148" i="21"/>
  <c r="F51" i="21"/>
  <c r="F96" i="21"/>
  <c r="F95" i="21" s="1"/>
  <c r="G227" i="21"/>
  <c r="H227" i="21" s="1"/>
  <c r="G195" i="21" a="1"/>
  <c r="G195" i="21" s="1"/>
  <c r="G217" i="21"/>
  <c r="C200" i="21"/>
  <c r="I223" i="21"/>
  <c r="H224" i="21"/>
  <c r="G225" i="21"/>
  <c r="H228" i="21"/>
  <c r="G229" i="21"/>
  <c r="H232" i="21"/>
  <c r="J223" i="21"/>
  <c r="H225" i="21"/>
  <c r="G226" i="21"/>
  <c r="H229" i="21"/>
  <c r="G230" i="21"/>
  <c r="H218" i="21"/>
  <c r="I218" i="21" s="1"/>
  <c r="G219" i="21"/>
  <c r="F216" i="21" a="1"/>
  <c r="F216" i="21" s="1"/>
  <c r="F215" i="21" s="1" a="1"/>
  <c r="F215" i="21" s="1"/>
  <c r="G220" i="21"/>
  <c r="I222" i="21"/>
  <c r="H220" i="21"/>
  <c r="G221" i="21"/>
  <c r="G205" i="21" a="1"/>
  <c r="G205" i="21" s="1"/>
  <c r="G202" i="21"/>
  <c r="G201" i="21" s="1"/>
  <c r="H207" i="21"/>
  <c r="I207" i="21" s="1"/>
  <c r="J207" i="21" s="1"/>
  <c r="K207" i="21" s="1"/>
  <c r="L207" i="21" s="1"/>
  <c r="M207" i="21" s="1"/>
  <c r="N207" i="21" s="1"/>
  <c r="H203" i="21"/>
  <c r="H198" i="21"/>
  <c r="I198" i="21" s="1"/>
  <c r="J198" i="21" s="1"/>
  <c r="K198" i="21" s="1"/>
  <c r="L198" i="21" s="1"/>
  <c r="M198" i="21" s="1"/>
  <c r="O187" i="21"/>
  <c r="O184" i="21"/>
  <c r="H183" i="21"/>
  <c r="I183" i="21" s="1"/>
  <c r="J183" i="21" s="1"/>
  <c r="K183" i="21" s="1"/>
  <c r="L183" i="21" s="1"/>
  <c r="M183" i="21" s="1"/>
  <c r="N183" i="21" s="1"/>
  <c r="O179" i="21"/>
  <c r="G176" i="21" a="1"/>
  <c r="G176" i="21" s="1"/>
  <c r="G172" i="21" a="1"/>
  <c r="G172" i="21" s="1"/>
  <c r="O167" i="21"/>
  <c r="G162" i="21" a="1"/>
  <c r="G162" i="21" s="1"/>
  <c r="I206" i="21"/>
  <c r="O204" i="21"/>
  <c r="O199" i="21"/>
  <c r="O194" i="21"/>
  <c r="O192" i="21"/>
  <c r="O191" i="21"/>
  <c r="O193" i="21"/>
  <c r="O185" i="21"/>
  <c r="O181" i="21"/>
  <c r="O189" i="21"/>
  <c r="O180" i="21"/>
  <c r="O188" i="21"/>
  <c r="I177" i="21"/>
  <c r="H178" i="21"/>
  <c r="I178" i="21" s="1"/>
  <c r="J178" i="21" s="1"/>
  <c r="K178" i="21" s="1"/>
  <c r="L178" i="21" s="1"/>
  <c r="M178" i="21" s="1"/>
  <c r="N178" i="21" s="1"/>
  <c r="H182" i="21"/>
  <c r="I182" i="21" s="1"/>
  <c r="J182" i="21" s="1"/>
  <c r="K182" i="21" s="1"/>
  <c r="L182" i="21" s="1"/>
  <c r="M182" i="21" s="1"/>
  <c r="N182" i="21" s="1"/>
  <c r="H186" i="21"/>
  <c r="I186" i="21" s="1"/>
  <c r="J186" i="21" s="1"/>
  <c r="K186" i="21" s="1"/>
  <c r="L186" i="21" s="1"/>
  <c r="M186" i="21" s="1"/>
  <c r="N186" i="21" s="1"/>
  <c r="J173" i="21"/>
  <c r="H172" i="21" a="1"/>
  <c r="H172" i="21" s="1"/>
  <c r="I174" i="21"/>
  <c r="J174" i="21" s="1"/>
  <c r="K174" i="21" s="1"/>
  <c r="L174" i="21" s="1"/>
  <c r="M174" i="21" s="1"/>
  <c r="N174" i="21" s="1"/>
  <c r="O175" i="21"/>
  <c r="O165" i="21"/>
  <c r="O171" i="21"/>
  <c r="O169" i="21"/>
  <c r="H164" i="21"/>
  <c r="I164" i="21" s="1"/>
  <c r="J164" i="21" s="1"/>
  <c r="K164" i="21" s="1"/>
  <c r="L164" i="21" s="1"/>
  <c r="M164" i="21" s="1"/>
  <c r="N164" i="21" s="1"/>
  <c r="H168" i="21"/>
  <c r="I168" i="21" s="1"/>
  <c r="J168" i="21" s="1"/>
  <c r="K168" i="21" s="1"/>
  <c r="L168" i="21" s="1"/>
  <c r="M168" i="21" s="1"/>
  <c r="N168" i="21" s="1"/>
  <c r="O166" i="21"/>
  <c r="O170" i="21"/>
  <c r="I163" i="21"/>
  <c r="O161" i="21"/>
  <c r="O157" i="21"/>
  <c r="O153" i="21"/>
  <c r="O155" i="21"/>
  <c r="O151" i="21"/>
  <c r="O159" i="21"/>
  <c r="H154" i="21"/>
  <c r="I154" i="21" s="1"/>
  <c r="J154" i="21" s="1"/>
  <c r="K154" i="21" s="1"/>
  <c r="L154" i="21" s="1"/>
  <c r="M154" i="21" s="1"/>
  <c r="N154" i="21" s="1"/>
  <c r="H158" i="21"/>
  <c r="I158" i="21" s="1"/>
  <c r="J158" i="21" s="1"/>
  <c r="K158" i="21" s="1"/>
  <c r="L158" i="21" s="1"/>
  <c r="M158" i="21" s="1"/>
  <c r="N158" i="21" s="1"/>
  <c r="O152" i="21"/>
  <c r="O156" i="21"/>
  <c r="O160" i="21"/>
  <c r="J149" i="21"/>
  <c r="J148" i="21" s="1"/>
  <c r="O146" i="21"/>
  <c r="O132" i="21"/>
  <c r="H116" i="21"/>
  <c r="I116" i="21" s="1"/>
  <c r="J116" i="21" s="1"/>
  <c r="K116" i="21" s="1"/>
  <c r="L116" i="21" s="1"/>
  <c r="M116" i="21" s="1"/>
  <c r="N116" i="21" s="1"/>
  <c r="L111" i="21"/>
  <c r="M111" i="21" s="1"/>
  <c r="L127" i="21"/>
  <c r="M127" i="21" s="1"/>
  <c r="N127" i="21" s="1"/>
  <c r="O106" i="21"/>
  <c r="O121" i="21"/>
  <c r="O122" i="21"/>
  <c r="O138" i="21"/>
  <c r="O128" i="21"/>
  <c r="O133" i="21"/>
  <c r="O134" i="21"/>
  <c r="O139" i="21"/>
  <c r="O108" i="21"/>
  <c r="O113" i="21"/>
  <c r="O114" i="21"/>
  <c r="O119" i="21"/>
  <c r="O124" i="21"/>
  <c r="O129" i="21"/>
  <c r="O130" i="21"/>
  <c r="O135" i="21"/>
  <c r="O140" i="21"/>
  <c r="H143" i="21"/>
  <c r="I143" i="21" s="1"/>
  <c r="J143" i="21" s="1"/>
  <c r="K143" i="21" s="1"/>
  <c r="L143" i="21" s="1"/>
  <c r="M143" i="21" s="1"/>
  <c r="O137" i="21"/>
  <c r="O107" i="21"/>
  <c r="O112" i="21"/>
  <c r="O117" i="21"/>
  <c r="O118" i="21"/>
  <c r="O123" i="21"/>
  <c r="O109" i="21"/>
  <c r="O110" i="21"/>
  <c r="O115" i="21"/>
  <c r="O120" i="21"/>
  <c r="O125" i="21"/>
  <c r="O126" i="21"/>
  <c r="O131" i="21"/>
  <c r="O136" i="21"/>
  <c r="O141" i="21"/>
  <c r="O142" i="21"/>
  <c r="O144" i="21"/>
  <c r="O145" i="21"/>
  <c r="O105" i="21"/>
  <c r="O101" i="21"/>
  <c r="F98" i="21"/>
  <c r="G99" i="21"/>
  <c r="H97" i="21"/>
  <c r="I97" i="21" s="1"/>
  <c r="J97" i="21" s="1"/>
  <c r="K97" i="21" s="1"/>
  <c r="L97" i="21" s="1"/>
  <c r="M97" i="21" s="1"/>
  <c r="N97" i="21" s="1"/>
  <c r="F85" i="21"/>
  <c r="H86" i="21"/>
  <c r="G85" i="21"/>
  <c r="F72" i="21"/>
  <c r="J100" i="21"/>
  <c r="K100" i="21" s="1"/>
  <c r="L100" i="21" s="1"/>
  <c r="M100" i="21" s="1"/>
  <c r="N100" i="21" s="1"/>
  <c r="G96" i="21"/>
  <c r="H89" i="21"/>
  <c r="I89" i="21" s="1"/>
  <c r="J89" i="21" s="1"/>
  <c r="K89" i="21" s="1"/>
  <c r="L89" i="21" s="1"/>
  <c r="M89" i="21" s="1"/>
  <c r="N89" i="21" s="1"/>
  <c r="H93" i="21"/>
  <c r="I93" i="21" s="1"/>
  <c r="J93" i="21" s="1"/>
  <c r="K93" i="21" s="1"/>
  <c r="L93" i="21" s="1"/>
  <c r="M93" i="21" s="1"/>
  <c r="N93" i="21" s="1"/>
  <c r="I90" i="21"/>
  <c r="J90" i="21" s="1"/>
  <c r="K90" i="21" s="1"/>
  <c r="L90" i="21" s="1"/>
  <c r="M90" i="21" s="1"/>
  <c r="N90" i="21" s="1"/>
  <c r="H88" i="21"/>
  <c r="I94" i="21"/>
  <c r="J94" i="21" s="1"/>
  <c r="K94" i="21" s="1"/>
  <c r="L94" i="21" s="1"/>
  <c r="M94" i="21" s="1"/>
  <c r="N94" i="21" s="1"/>
  <c r="G91" i="21"/>
  <c r="H91" i="21" s="1"/>
  <c r="I91" i="21" s="1"/>
  <c r="J91" i="21" s="1"/>
  <c r="K91" i="21" s="1"/>
  <c r="L91" i="21" s="1"/>
  <c r="M91" i="21" s="1"/>
  <c r="N91" i="21" s="1"/>
  <c r="O92" i="21"/>
  <c r="F87" i="21" a="1"/>
  <c r="F87" i="21" s="1"/>
  <c r="I86" i="21"/>
  <c r="H85" i="21"/>
  <c r="J83" i="21"/>
  <c r="K83" i="21" s="1"/>
  <c r="L83" i="21" s="1"/>
  <c r="M83" i="21" s="1"/>
  <c r="N83" i="21" s="1"/>
  <c r="I74" i="21"/>
  <c r="J74" i="21" s="1"/>
  <c r="K74" i="21" s="1"/>
  <c r="L74" i="21" s="1"/>
  <c r="M74" i="21" s="1"/>
  <c r="N74" i="21" s="1"/>
  <c r="I78" i="21"/>
  <c r="J78" i="21" s="1"/>
  <c r="K78" i="21" s="1"/>
  <c r="L78" i="21" s="1"/>
  <c r="M78" i="21" s="1"/>
  <c r="N78" i="21" s="1"/>
  <c r="H75" i="21"/>
  <c r="I75" i="21" s="1"/>
  <c r="J75" i="21" s="1"/>
  <c r="K75" i="21" s="1"/>
  <c r="L75" i="21" s="1"/>
  <c r="M75" i="21" s="1"/>
  <c r="N75" i="21" s="1"/>
  <c r="J79" i="21"/>
  <c r="K79" i="21" s="1"/>
  <c r="L79" i="21" s="1"/>
  <c r="M79" i="21" s="1"/>
  <c r="N79" i="21" s="1"/>
  <c r="O76" i="21"/>
  <c r="O80" i="21"/>
  <c r="O84" i="21"/>
  <c r="G73" i="21"/>
  <c r="G77" i="21"/>
  <c r="H77" i="21" s="1"/>
  <c r="I77" i="21" s="1"/>
  <c r="J77" i="21" s="1"/>
  <c r="K77" i="21" s="1"/>
  <c r="L77" i="21" s="1"/>
  <c r="M77" i="21" s="1"/>
  <c r="N77" i="21" s="1"/>
  <c r="G81" i="21"/>
  <c r="H81" i="21" s="1"/>
  <c r="I81" i="21" s="1"/>
  <c r="J81" i="21" s="1"/>
  <c r="K81" i="21" s="1"/>
  <c r="L81" i="21" s="1"/>
  <c r="M81" i="21" s="1"/>
  <c r="N81" i="21" s="1"/>
  <c r="J82" i="21"/>
  <c r="K82" i="21" s="1"/>
  <c r="L82" i="21" s="1"/>
  <c r="M82" i="21" s="1"/>
  <c r="N82" i="21" s="1"/>
  <c r="K69" i="21"/>
  <c r="L69" i="21" s="1"/>
  <c r="M69" i="21" s="1"/>
  <c r="O66" i="21"/>
  <c r="O70" i="21"/>
  <c r="H67" i="21"/>
  <c r="I67" i="21" s="1"/>
  <c r="J67" i="21" s="1"/>
  <c r="K67" i="21" s="1"/>
  <c r="L67" i="21" s="1"/>
  <c r="M67" i="21" s="1"/>
  <c r="N67" i="21" s="1"/>
  <c r="G68" i="21"/>
  <c r="H68" i="21" s="1"/>
  <c r="I68" i="21" s="1"/>
  <c r="J68" i="21" s="1"/>
  <c r="K68" i="21" s="1"/>
  <c r="L68" i="21" s="1"/>
  <c r="M68" i="21" s="1"/>
  <c r="N68" i="21" s="1"/>
  <c r="H71" i="21"/>
  <c r="I71" i="21" s="1"/>
  <c r="J71" i="21" s="1"/>
  <c r="K71" i="21" s="1"/>
  <c r="L71" i="21" s="1"/>
  <c r="M71" i="21" s="1"/>
  <c r="N71" i="21" s="1"/>
  <c r="F64" i="21"/>
  <c r="H65" i="21"/>
  <c r="J62" i="21"/>
  <c r="K62" i="21" s="1"/>
  <c r="L62" i="21" s="1"/>
  <c r="M62" i="21" s="1"/>
  <c r="N62" i="21" s="1"/>
  <c r="O63" i="21"/>
  <c r="J61" i="21"/>
  <c r="K61" i="21" s="1"/>
  <c r="L61" i="21" s="1"/>
  <c r="M61" i="21" s="1"/>
  <c r="N61" i="21" s="1"/>
  <c r="F53" i="21" a="1"/>
  <c r="F53" i="21" s="1"/>
  <c r="O57" i="21"/>
  <c r="I54" i="21"/>
  <c r="J54" i="21" s="1"/>
  <c r="K54" i="21" s="1"/>
  <c r="L54" i="21" s="1"/>
  <c r="M54" i="21" s="1"/>
  <c r="N54" i="21" s="1"/>
  <c r="H55" i="21"/>
  <c r="I55" i="21" s="1"/>
  <c r="J55" i="21" s="1"/>
  <c r="K55" i="21" s="1"/>
  <c r="L55" i="21" s="1"/>
  <c r="M55" i="21" s="1"/>
  <c r="N55" i="21" s="1"/>
  <c r="G56" i="21"/>
  <c r="I58" i="21"/>
  <c r="J58" i="21" s="1"/>
  <c r="K58" i="21" s="1"/>
  <c r="L58" i="21" s="1"/>
  <c r="M58" i="21" s="1"/>
  <c r="N58" i="21" s="1"/>
  <c r="H59" i="21"/>
  <c r="I59" i="21" s="1"/>
  <c r="J59" i="21" s="1"/>
  <c r="K59" i="21" s="1"/>
  <c r="L59" i="21" s="1"/>
  <c r="M59" i="21" s="1"/>
  <c r="N59" i="21" s="1"/>
  <c r="H52" i="21"/>
  <c r="F38" i="21"/>
  <c r="H45" i="21"/>
  <c r="I45" i="21" s="1"/>
  <c r="J45" i="21" s="1"/>
  <c r="K45" i="21" s="1"/>
  <c r="L45" i="21" s="1"/>
  <c r="M45" i="21" s="1"/>
  <c r="N45" i="21" s="1"/>
  <c r="O42" i="21"/>
  <c r="H49" i="21"/>
  <c r="I49" i="21" s="1"/>
  <c r="J49" i="21" s="1"/>
  <c r="K49" i="21" s="1"/>
  <c r="L49" i="21" s="1"/>
  <c r="M49" i="21" s="1"/>
  <c r="N49" i="21" s="1"/>
  <c r="H40" i="21"/>
  <c r="I40" i="21" s="1"/>
  <c r="J40" i="21" s="1"/>
  <c r="K40" i="21" s="1"/>
  <c r="L40" i="21" s="1"/>
  <c r="M40" i="21" s="1"/>
  <c r="N40" i="21" s="1"/>
  <c r="H48" i="21"/>
  <c r="I48" i="21" s="1"/>
  <c r="J48" i="21" s="1"/>
  <c r="K48" i="21" s="1"/>
  <c r="L48" i="21" s="1"/>
  <c r="M48" i="21" s="1"/>
  <c r="N48" i="21" s="1"/>
  <c r="O48" i="21"/>
  <c r="H41" i="21"/>
  <c r="I41" i="21" s="1"/>
  <c r="J41" i="21" s="1"/>
  <c r="K41" i="21" s="1"/>
  <c r="L41" i="21" s="1"/>
  <c r="M41" i="21" s="1"/>
  <c r="N41" i="21" s="1"/>
  <c r="H44" i="21"/>
  <c r="I44" i="21" s="1"/>
  <c r="J44" i="21" s="1"/>
  <c r="K44" i="21" s="1"/>
  <c r="L44" i="21" s="1"/>
  <c r="M44" i="21" s="1"/>
  <c r="N44" i="21" s="1"/>
  <c r="H42" i="21"/>
  <c r="I42" i="21" s="1"/>
  <c r="J42" i="21" s="1"/>
  <c r="K42" i="21" s="1"/>
  <c r="L42" i="21" s="1"/>
  <c r="M42" i="21" s="1"/>
  <c r="N42" i="21" s="1"/>
  <c r="G43" i="21"/>
  <c r="H43" i="21" s="1"/>
  <c r="I43" i="21" s="1"/>
  <c r="J43" i="21" s="1"/>
  <c r="K43" i="21" s="1"/>
  <c r="L43" i="21" s="1"/>
  <c r="M43" i="21" s="1"/>
  <c r="N43" i="21" s="1"/>
  <c r="H46" i="21"/>
  <c r="I46" i="21" s="1"/>
  <c r="J46" i="21" s="1"/>
  <c r="K46" i="21" s="1"/>
  <c r="L46" i="21" s="1"/>
  <c r="M46" i="21" s="1"/>
  <c r="N46" i="21" s="1"/>
  <c r="G47" i="21"/>
  <c r="H47" i="21" s="1"/>
  <c r="I47" i="21" s="1"/>
  <c r="J47" i="21" s="1"/>
  <c r="K47" i="21" s="1"/>
  <c r="L47" i="21" s="1"/>
  <c r="M47" i="21" s="1"/>
  <c r="N47" i="21" s="1"/>
  <c r="H50" i="21"/>
  <c r="I50" i="21" s="1"/>
  <c r="J50" i="21" s="1"/>
  <c r="K50" i="21" s="1"/>
  <c r="L50" i="21" s="1"/>
  <c r="M50" i="21" s="1"/>
  <c r="N50" i="21" s="1"/>
  <c r="I39" i="21"/>
  <c r="H35" i="21"/>
  <c r="I35" i="21" s="1"/>
  <c r="J35" i="21" s="1"/>
  <c r="K35" i="21" s="1"/>
  <c r="L35" i="21" s="1"/>
  <c r="M35" i="21" s="1"/>
  <c r="N35" i="21" s="1"/>
  <c r="H31" i="21"/>
  <c r="O32" i="21"/>
  <c r="Q32" i="21" s="1"/>
  <c r="O36" i="21"/>
  <c r="H33" i="21"/>
  <c r="I33" i="21" s="1"/>
  <c r="J33" i="21" s="1"/>
  <c r="K33" i="21" s="1"/>
  <c r="L33" i="21" s="1"/>
  <c r="M33" i="21" s="1"/>
  <c r="N33" i="21" s="1"/>
  <c r="G34" i="21"/>
  <c r="H34" i="21" s="1"/>
  <c r="I34" i="21" s="1"/>
  <c r="J34" i="21" s="1"/>
  <c r="K34" i="21" s="1"/>
  <c r="L34" i="21" s="1"/>
  <c r="M34" i="21" s="1"/>
  <c r="N34" i="21" s="1"/>
  <c r="H37" i="21"/>
  <c r="I37" i="21" s="1"/>
  <c r="J37" i="21" s="1"/>
  <c r="K37" i="21" s="1"/>
  <c r="L37" i="21" s="1"/>
  <c r="M37" i="21" s="1"/>
  <c r="N37" i="21" s="1"/>
  <c r="F30" i="21"/>
  <c r="O29" i="21"/>
  <c r="Q29" i="21" s="1"/>
  <c r="O17" i="21"/>
  <c r="O21" i="21"/>
  <c r="Q21" i="21" s="1"/>
  <c r="O25" i="21"/>
  <c r="Q25" i="21" s="1"/>
  <c r="O26" i="21"/>
  <c r="Q26" i="21" s="1"/>
  <c r="O19" i="21"/>
  <c r="Q19" i="21" s="1"/>
  <c r="O23" i="21"/>
  <c r="Q23" i="21" s="1"/>
  <c r="O27" i="21"/>
  <c r="Q27" i="21" s="1"/>
  <c r="O20" i="21"/>
  <c r="Q20" i="21" s="1"/>
  <c r="O24" i="21"/>
  <c r="Q24" i="21" s="1"/>
  <c r="O28" i="21"/>
  <c r="Q28" i="21" s="1"/>
  <c r="E14" i="21"/>
  <c r="O15" i="21"/>
  <c r="Q15" i="21" s="1"/>
  <c r="E95" i="21"/>
  <c r="C95" i="21"/>
  <c r="C13" i="21" s="1"/>
  <c r="E60" i="21"/>
  <c r="D95" i="21"/>
  <c r="E190" i="21" a="1"/>
  <c r="E190" i="21" s="1"/>
  <c r="E147" i="21" s="1" a="1"/>
  <c r="E147" i="21" s="1"/>
  <c r="E103" i="21" s="1" a="1"/>
  <c r="E103" i="21" s="1"/>
  <c r="D60" i="21"/>
  <c r="D200" i="21" a="1"/>
  <c r="D200" i="21" s="1"/>
  <c r="G53" i="21" a="1"/>
  <c r="G53" i="21" s="1"/>
  <c r="F200" i="21" a="1"/>
  <c r="F200" i="21" s="1"/>
  <c r="F147" i="21" a="1"/>
  <c r="F147" i="21" s="1"/>
  <c r="F103" i="21" s="1" a="1"/>
  <c r="F103" i="21" s="1"/>
  <c r="E200" i="21" a="1"/>
  <c r="E200" i="21" s="1"/>
  <c r="G237" i="21" a="1"/>
  <c r="G237" i="21" s="1"/>
  <c r="C103" i="21" a="1"/>
  <c r="C103" i="21" s="1"/>
  <c r="C102" i="21" s="1"/>
  <c r="D147" i="21" a="1"/>
  <c r="D147" i="21" s="1"/>
  <c r="D103" i="21" s="1" a="1"/>
  <c r="D103" i="21" s="1"/>
  <c r="G190" i="21" a="1"/>
  <c r="G190" i="21" s="1"/>
  <c r="G104" i="21" a="1"/>
  <c r="G104" i="21" s="1"/>
  <c r="O211" i="21" a="1"/>
  <c r="O211" i="21" s="1"/>
  <c r="N209" i="21" a="1"/>
  <c r="N209" i="21" s="1"/>
  <c r="O209" i="21" s="1" a="1"/>
  <c r="O209" i="21" s="1"/>
  <c r="K144" i="17"/>
  <c r="K143" i="17" s="1"/>
  <c r="K142" i="17" s="1"/>
  <c r="K126" i="17"/>
  <c r="K125" i="17" s="1"/>
  <c r="I111" i="17"/>
  <c r="K117" i="17"/>
  <c r="I107" i="17"/>
  <c r="K102" i="17"/>
  <c r="K106" i="17"/>
  <c r="I86" i="17"/>
  <c r="K89" i="17"/>
  <c r="K80" i="17"/>
  <c r="I51" i="17"/>
  <c r="K48" i="17"/>
  <c r="K50" i="17"/>
  <c r="K40" i="17"/>
  <c r="K22" i="17"/>
  <c r="I14" i="17"/>
  <c r="K16" i="17"/>
  <c r="I10" i="17"/>
  <c r="L146" i="17"/>
  <c r="L141" i="17" s="1"/>
  <c r="L140" i="17" s="1"/>
  <c r="L139" i="17" s="1"/>
  <c r="L138" i="17" s="1"/>
  <c r="E149" i="17"/>
  <c r="E146" i="17" s="1"/>
  <c r="M146" i="17"/>
  <c r="M141" i="17" s="1"/>
  <c r="M140" i="17" s="1"/>
  <c r="M139" i="17" s="1"/>
  <c r="M138" i="17" s="1"/>
  <c r="E143" i="17"/>
  <c r="E142" i="17" s="1"/>
  <c r="K130" i="17"/>
  <c r="E128" i="17"/>
  <c r="E121" i="17"/>
  <c r="I121" i="17"/>
  <c r="K114" i="17"/>
  <c r="L95" i="17"/>
  <c r="E111" i="17"/>
  <c r="K91" i="17"/>
  <c r="K87" i="17"/>
  <c r="K67" i="17"/>
  <c r="I66" i="17"/>
  <c r="I65" i="17" s="1"/>
  <c r="K52" i="17"/>
  <c r="D36" i="17"/>
  <c r="I43" i="17"/>
  <c r="M36" i="17"/>
  <c r="L36" i="17"/>
  <c r="E41" i="17"/>
  <c r="I37" i="17"/>
  <c r="K33" i="17"/>
  <c r="L27" i="17"/>
  <c r="L9" i="17" s="1"/>
  <c r="L8" i="17" s="1"/>
  <c r="G27" i="17"/>
  <c r="G9" i="17" s="1"/>
  <c r="G8" i="17" s="1"/>
  <c r="K24" i="17"/>
  <c r="K23" i="17" s="1"/>
  <c r="F146" i="17"/>
  <c r="F141" i="17" s="1"/>
  <c r="F140" i="17" s="1"/>
  <c r="F139" i="17" s="1"/>
  <c r="F138" i="17" s="1"/>
  <c r="C146" i="17"/>
  <c r="C141" i="17" s="1"/>
  <c r="C140" i="17" s="1"/>
  <c r="C139" i="17" s="1"/>
  <c r="C138" i="17" s="1"/>
  <c r="G146" i="17"/>
  <c r="G141" i="17" s="1"/>
  <c r="G140" i="17" s="1"/>
  <c r="G139" i="17" s="1"/>
  <c r="G138" i="17" s="1"/>
  <c r="F127" i="17"/>
  <c r="D95" i="17"/>
  <c r="D77" i="17" s="1"/>
  <c r="H95" i="17"/>
  <c r="C95" i="17"/>
  <c r="G95" i="17"/>
  <c r="F95" i="17"/>
  <c r="F78" i="17"/>
  <c r="F56" i="17"/>
  <c r="F55" i="17" s="1"/>
  <c r="D56" i="17"/>
  <c r="D55" i="17" s="1"/>
  <c r="H56" i="17"/>
  <c r="H55" i="17" s="1"/>
  <c r="F36" i="17"/>
  <c r="C27" i="17"/>
  <c r="C9" i="17" s="1"/>
  <c r="C8" i="17" s="1"/>
  <c r="K94" i="15"/>
  <c r="M96" i="15"/>
  <c r="M92" i="15"/>
  <c r="L92" i="15" s="1"/>
  <c r="K79" i="15"/>
  <c r="L73" i="15"/>
  <c r="L77" i="15"/>
  <c r="M73" i="15"/>
  <c r="K71" i="15"/>
  <c r="K66" i="15" s="1"/>
  <c r="K65" i="15" s="1"/>
  <c r="L69" i="15"/>
  <c r="M68" i="15"/>
  <c r="M67" i="15" s="1"/>
  <c r="L67" i="15" s="1"/>
  <c r="M61" i="15"/>
  <c r="M58" i="15" s="1"/>
  <c r="M56" i="15"/>
  <c r="L56" i="15" s="1"/>
  <c r="L57" i="15"/>
  <c r="K43" i="15"/>
  <c r="M43" i="15"/>
  <c r="M98" i="15"/>
  <c r="M97" i="15" s="1"/>
  <c r="L97" i="15" s="1"/>
  <c r="L99" i="15"/>
  <c r="M80" i="15"/>
  <c r="M84" i="15"/>
  <c r="L84" i="15" s="1"/>
  <c r="M88" i="15"/>
  <c r="L88" i="15" s="1"/>
  <c r="M75" i="15"/>
  <c r="M71" i="15" s="1"/>
  <c r="L72" i="15"/>
  <c r="L60" i="15"/>
  <c r="L64" i="15"/>
  <c r="K58" i="15"/>
  <c r="L44" i="15"/>
  <c r="M39" i="15"/>
  <c r="M35" i="15" s="1"/>
  <c r="K35" i="15"/>
  <c r="K19" i="15"/>
  <c r="L20" i="15"/>
  <c r="L19" i="15"/>
  <c r="M19" i="15"/>
  <c r="J94" i="15"/>
  <c r="J66" i="15"/>
  <c r="J65" i="15" s="1"/>
  <c r="J18" i="15"/>
  <c r="J17" i="15" s="1"/>
  <c r="I94" i="15"/>
  <c r="I66" i="15"/>
  <c r="I65" i="15" s="1"/>
  <c r="H66" i="15"/>
  <c r="H65" i="15" s="1"/>
  <c r="I16" i="15"/>
  <c r="I15" i="15" s="1"/>
  <c r="I14" i="15" s="1"/>
  <c r="F16" i="15"/>
  <c r="F15" i="15" s="1"/>
  <c r="F14" i="15" s="1"/>
  <c r="G16" i="15"/>
  <c r="G15" i="15" s="1"/>
  <c r="G14" i="15" s="1"/>
  <c r="H18" i="15"/>
  <c r="H17" i="15" s="1"/>
  <c r="E16" i="15"/>
  <c r="E15" i="15" s="1"/>
  <c r="E14" i="15" s="1"/>
  <c r="K10" i="17" l="1"/>
  <c r="C77" i="17"/>
  <c r="D9" i="17"/>
  <c r="D8" i="17" s="1"/>
  <c r="D7" i="17" s="1"/>
  <c r="D6" i="17" s="1"/>
  <c r="D5" i="17" s="1"/>
  <c r="D4" i="17" s="1"/>
  <c r="B77" i="17"/>
  <c r="K111" i="17"/>
  <c r="I56" i="17"/>
  <c r="K57" i="17"/>
  <c r="K61" i="17"/>
  <c r="G7" i="17"/>
  <c r="G6" i="17" s="1"/>
  <c r="K14" i="17"/>
  <c r="K37" i="17"/>
  <c r="K19" i="17"/>
  <c r="G77" i="17"/>
  <c r="I127" i="17"/>
  <c r="K90" i="17"/>
  <c r="E78" i="17"/>
  <c r="E36" i="17"/>
  <c r="M77" i="17"/>
  <c r="H77" i="17"/>
  <c r="L77" i="17"/>
  <c r="I9" i="17"/>
  <c r="I8" i="17" s="1"/>
  <c r="E56" i="17"/>
  <c r="E55" i="17" s="1"/>
  <c r="K97" i="17"/>
  <c r="K133" i="17"/>
  <c r="E127" i="17"/>
  <c r="K128" i="17"/>
  <c r="K32" i="17"/>
  <c r="K141" i="17"/>
  <c r="K140" i="17" s="1"/>
  <c r="K139" i="17" s="1"/>
  <c r="K138" i="17" s="1"/>
  <c r="K43" i="17"/>
  <c r="I78" i="17"/>
  <c r="K28" i="17"/>
  <c r="B7" i="17"/>
  <c r="B6" i="17" s="1"/>
  <c r="E95" i="17"/>
  <c r="E141" i="17"/>
  <c r="E140" i="17" s="1"/>
  <c r="E139" i="17" s="1"/>
  <c r="E138" i="17" s="1"/>
  <c r="K79" i="17"/>
  <c r="E9" i="17"/>
  <c r="E8" i="17" s="1"/>
  <c r="K51" i="17"/>
  <c r="K100" i="17"/>
  <c r="I95" i="17"/>
  <c r="I36" i="17"/>
  <c r="K66" i="17"/>
  <c r="K65" i="17" s="1"/>
  <c r="I227" i="21"/>
  <c r="J227" i="21"/>
  <c r="G200" i="21" a="1"/>
  <c r="G200" i="21" s="1"/>
  <c r="K223" i="21"/>
  <c r="L223" i="21" s="1"/>
  <c r="H148" i="21"/>
  <c r="H96" i="21"/>
  <c r="O100" i="21"/>
  <c r="O127" i="21"/>
  <c r="J231" i="21"/>
  <c r="H217" i="21"/>
  <c r="I217" i="21" s="1"/>
  <c r="F60" i="21"/>
  <c r="O94" i="21"/>
  <c r="I148" i="21"/>
  <c r="I229" i="21"/>
  <c r="J229" i="21"/>
  <c r="K231" i="21"/>
  <c r="I232" i="21"/>
  <c r="J232" i="21" s="1"/>
  <c r="H230" i="21"/>
  <c r="I230" i="21" s="1"/>
  <c r="I228" i="21"/>
  <c r="H226" i="21"/>
  <c r="I226" i="21" s="1"/>
  <c r="I224" i="21"/>
  <c r="J224" i="21" s="1"/>
  <c r="I225" i="21"/>
  <c r="H221" i="21"/>
  <c r="I221" i="21" s="1"/>
  <c r="I220" i="21"/>
  <c r="G216" i="21" a="1"/>
  <c r="G216" i="21" s="1"/>
  <c r="G215" i="21" s="1" a="1"/>
  <c r="G215" i="21" s="1"/>
  <c r="H219" i="21"/>
  <c r="L222" i="21"/>
  <c r="M222" i="21" s="1"/>
  <c r="N222" i="21" s="1"/>
  <c r="J222" i="21"/>
  <c r="K222" i="21" s="1"/>
  <c r="J218" i="21"/>
  <c r="H205" i="21" a="1"/>
  <c r="H205" i="21" s="1"/>
  <c r="N69" i="21"/>
  <c r="O69" i="21" s="1"/>
  <c r="O79" i="21"/>
  <c r="N198" i="21"/>
  <c r="O198" i="21" s="1"/>
  <c r="O33" i="21"/>
  <c r="Q33" i="21" s="1"/>
  <c r="O91" i="21"/>
  <c r="N111" i="21"/>
  <c r="O111" i="21" s="1"/>
  <c r="O207" i="21"/>
  <c r="Q207" i="21" s="1"/>
  <c r="H202" i="21"/>
  <c r="H201" i="21" s="1"/>
  <c r="H200" i="21" s="1" a="1"/>
  <c r="H200" i="21" s="1"/>
  <c r="I203" i="21"/>
  <c r="H195" i="21" a="1"/>
  <c r="H195" i="21" s="1"/>
  <c r="O197" i="21"/>
  <c r="O183" i="21"/>
  <c r="O182" i="21"/>
  <c r="O178" i="21"/>
  <c r="I205" i="21" a="1"/>
  <c r="I205" i="21" s="1"/>
  <c r="J206" i="21"/>
  <c r="I195" i="21" a="1"/>
  <c r="I195" i="21" s="1"/>
  <c r="H176" i="21" a="1"/>
  <c r="H176" i="21" s="1"/>
  <c r="J177" i="21"/>
  <c r="I176" i="21" a="1"/>
  <c r="I176" i="21" s="1"/>
  <c r="O186" i="21"/>
  <c r="O174" i="21"/>
  <c r="K173" i="21"/>
  <c r="J172" i="21" a="1"/>
  <c r="J172" i="21" s="1"/>
  <c r="I172" i="21" a="1"/>
  <c r="I172" i="21" s="1"/>
  <c r="O168" i="21"/>
  <c r="O164" i="21"/>
  <c r="H162" i="21" a="1"/>
  <c r="H162" i="21" s="1"/>
  <c r="I162" i="21" a="1"/>
  <c r="I162" i="21" s="1"/>
  <c r="J163" i="21"/>
  <c r="G147" i="21" a="1"/>
  <c r="G147" i="21" s="1"/>
  <c r="G103" i="21" s="1" a="1"/>
  <c r="G103" i="21" s="1"/>
  <c r="G102" i="21" s="1" a="1"/>
  <c r="G102" i="21" s="1"/>
  <c r="O158" i="21"/>
  <c r="O150" i="21"/>
  <c r="O154" i="21"/>
  <c r="K149" i="21"/>
  <c r="K148" i="21" s="1"/>
  <c r="O116" i="21"/>
  <c r="O143" i="21"/>
  <c r="H99" i="21"/>
  <c r="G98" i="21"/>
  <c r="G95" i="21" s="1"/>
  <c r="O97" i="21"/>
  <c r="O82" i="21"/>
  <c r="O77" i="21"/>
  <c r="O74" i="21"/>
  <c r="G64" i="21"/>
  <c r="I96" i="21"/>
  <c r="H87" i="21" a="1"/>
  <c r="H87" i="21" s="1"/>
  <c r="I88" i="21"/>
  <c r="O93" i="21"/>
  <c r="G87" i="21" a="1"/>
  <c r="G87" i="21" s="1"/>
  <c r="O90" i="21"/>
  <c r="O89" i="21"/>
  <c r="J86" i="21"/>
  <c r="I85" i="21"/>
  <c r="O78" i="21"/>
  <c r="O75" i="21"/>
  <c r="O81" i="21"/>
  <c r="O83" i="21"/>
  <c r="G72" i="21"/>
  <c r="H73" i="21"/>
  <c r="O68" i="21"/>
  <c r="O71" i="21"/>
  <c r="O67" i="21"/>
  <c r="I65" i="21"/>
  <c r="H64" i="21"/>
  <c r="O61" i="21"/>
  <c r="O62" i="21"/>
  <c r="O59" i="21"/>
  <c r="O54" i="21"/>
  <c r="H56" i="21"/>
  <c r="I56" i="21" s="1"/>
  <c r="O58" i="21"/>
  <c r="O55" i="21"/>
  <c r="H51" i="21"/>
  <c r="I52" i="21"/>
  <c r="O49" i="21"/>
  <c r="O47" i="21"/>
  <c r="O44" i="21"/>
  <c r="O43" i="21"/>
  <c r="G38" i="21"/>
  <c r="O41" i="21"/>
  <c r="H38" i="21"/>
  <c r="O40" i="21"/>
  <c r="O50" i="21"/>
  <c r="O46" i="21"/>
  <c r="O45" i="21"/>
  <c r="J39" i="21"/>
  <c r="I38" i="21"/>
  <c r="O37" i="21"/>
  <c r="G30" i="21"/>
  <c r="O35" i="21"/>
  <c r="Q35" i="21" s="1"/>
  <c r="I31" i="21"/>
  <c r="H30" i="21"/>
  <c r="O34" i="21"/>
  <c r="Q34" i="21" s="1"/>
  <c r="Q17" i="21"/>
  <c r="O22" i="21"/>
  <c r="Q22" i="21" s="1"/>
  <c r="O18" i="21"/>
  <c r="Q18" i="21" s="1"/>
  <c r="F14" i="21"/>
  <c r="G14" i="21"/>
  <c r="E13" i="21"/>
  <c r="D13" i="21"/>
  <c r="F102" i="21" a="1"/>
  <c r="F102" i="21" s="1"/>
  <c r="E102" i="21" a="1"/>
  <c r="E102" i="21" s="1"/>
  <c r="D102" i="21" a="1"/>
  <c r="D102" i="21" s="1"/>
  <c r="H190" i="21" a="1"/>
  <c r="H190" i="21" s="1"/>
  <c r="H104" i="21" a="1"/>
  <c r="H104" i="21" s="1"/>
  <c r="K86" i="17"/>
  <c r="K72" i="17"/>
  <c r="K71" i="17" s="1"/>
  <c r="K70" i="17" s="1"/>
  <c r="E72" i="17"/>
  <c r="E71" i="17" s="1"/>
  <c r="E70" i="17" s="1"/>
  <c r="K47" i="17"/>
  <c r="I55" i="17"/>
  <c r="C7" i="17"/>
  <c r="C6" i="17" s="1"/>
  <c r="C5" i="17" s="1"/>
  <c r="C4" i="17" s="1"/>
  <c r="H7" i="17"/>
  <c r="H6" i="17" s="1"/>
  <c r="M7" i="17"/>
  <c r="M6" i="17" s="1"/>
  <c r="L7" i="17"/>
  <c r="L6" i="17" s="1"/>
  <c r="F77" i="17"/>
  <c r="F7" i="17"/>
  <c r="F6" i="17" s="1"/>
  <c r="L98" i="15"/>
  <c r="L96" i="15"/>
  <c r="M95" i="15"/>
  <c r="L71" i="15"/>
  <c r="L75" i="15"/>
  <c r="L68" i="15"/>
  <c r="J16" i="15"/>
  <c r="J15" i="15" s="1"/>
  <c r="J14" i="15" s="1"/>
  <c r="L61" i="15"/>
  <c r="L58" i="15"/>
  <c r="K18" i="15"/>
  <c r="K17" i="15" s="1"/>
  <c r="K16" i="15" s="1"/>
  <c r="K15" i="15" s="1"/>
  <c r="L43" i="15"/>
  <c r="M18" i="15"/>
  <c r="M17" i="15" s="1"/>
  <c r="L35" i="15"/>
  <c r="M79" i="15"/>
  <c r="L80" i="15"/>
  <c r="L39" i="15"/>
  <c r="H16" i="15"/>
  <c r="H15" i="15" s="1"/>
  <c r="H14" i="15" s="1"/>
  <c r="E77" i="17" l="1"/>
  <c r="K95" i="17"/>
  <c r="G5" i="17"/>
  <c r="G4" i="17" s="1"/>
  <c r="B5" i="17"/>
  <c r="B4" i="17" s="1"/>
  <c r="K56" i="17"/>
  <c r="K127" i="17"/>
  <c r="K27" i="17"/>
  <c r="K9" i="17" s="1"/>
  <c r="K8" i="17" s="1"/>
  <c r="K55" i="17"/>
  <c r="M5" i="17"/>
  <c r="M4" i="17" s="1"/>
  <c r="K36" i="17"/>
  <c r="K7" i="17" s="1"/>
  <c r="K6" i="17" s="1"/>
  <c r="E7" i="17"/>
  <c r="E6" i="17" s="1"/>
  <c r="L5" i="17"/>
  <c r="L4" i="17" s="1"/>
  <c r="H5" i="17"/>
  <c r="H4" i="17" s="1"/>
  <c r="I77" i="17"/>
  <c r="I7" i="17"/>
  <c r="I6" i="17" s="1"/>
  <c r="I5" i="17" s="1"/>
  <c r="I4" i="17" s="1"/>
  <c r="K78" i="17"/>
  <c r="J217" i="21"/>
  <c r="F13" i="21"/>
  <c r="K229" i="21"/>
  <c r="L229" i="21" s="1"/>
  <c r="K227" i="21"/>
  <c r="J228" i="21"/>
  <c r="K228" i="21" s="1"/>
  <c r="J225" i="21"/>
  <c r="K225" i="21" s="1"/>
  <c r="L225" i="21" s="1"/>
  <c r="K224" i="21"/>
  <c r="L231" i="21"/>
  <c r="M231" i="21" s="1"/>
  <c r="N231" i="21" s="1"/>
  <c r="J226" i="21"/>
  <c r="J230" i="21"/>
  <c r="K230" i="21"/>
  <c r="K232" i="21"/>
  <c r="L232" i="21" s="1"/>
  <c r="M223" i="21"/>
  <c r="N223" i="21" s="1"/>
  <c r="J221" i="21"/>
  <c r="K221" i="21" s="1"/>
  <c r="L221" i="21" s="1"/>
  <c r="J220" i="21"/>
  <c r="I219" i="21"/>
  <c r="H216" i="21" a="1"/>
  <c r="H216" i="21" s="1"/>
  <c r="H215" i="21" s="1" a="1"/>
  <c r="H215" i="21" s="1"/>
  <c r="K218" i="21"/>
  <c r="L218" i="21" s="1"/>
  <c r="J219" i="21"/>
  <c r="J203" i="21"/>
  <c r="I202" i="21"/>
  <c r="I201" i="21" s="1"/>
  <c r="I200" i="21" s="1" a="1"/>
  <c r="I200" i="21" s="1"/>
  <c r="K206" i="21"/>
  <c r="J205" i="21" a="1"/>
  <c r="J205" i="21" s="1"/>
  <c r="J195" i="21" a="1"/>
  <c r="J195" i="21" s="1"/>
  <c r="K177" i="21"/>
  <c r="J176" i="21" a="1"/>
  <c r="J176" i="21" s="1"/>
  <c r="L173" i="21"/>
  <c r="K172" i="21" a="1"/>
  <c r="K172" i="21" s="1"/>
  <c r="K163" i="21"/>
  <c r="J162" i="21" a="1"/>
  <c r="J162" i="21" s="1"/>
  <c r="H147" i="21" a="1"/>
  <c r="H147" i="21" s="1"/>
  <c r="H103" i="21" s="1" a="1"/>
  <c r="H103" i="21" s="1"/>
  <c r="H102" i="21" s="1"/>
  <c r="L149" i="21"/>
  <c r="L148" i="21" s="1"/>
  <c r="I99" i="21"/>
  <c r="H98" i="21"/>
  <c r="H95" i="21" s="1"/>
  <c r="G60" i="21"/>
  <c r="G13" i="21" s="1"/>
  <c r="J96" i="21"/>
  <c r="J88" i="21"/>
  <c r="I87" i="21" a="1"/>
  <c r="I87" i="21" s="1"/>
  <c r="J85" i="21"/>
  <c r="K86" i="21"/>
  <c r="I73" i="21"/>
  <c r="H72" i="21"/>
  <c r="H60" i="21" s="1"/>
  <c r="J65" i="21"/>
  <c r="I64" i="21"/>
  <c r="H53" i="21" a="1"/>
  <c r="H53" i="21" s="1"/>
  <c r="J56" i="21"/>
  <c r="I53" i="21" a="1"/>
  <c r="I53" i="21" s="1"/>
  <c r="J52" i="21"/>
  <c r="I51" i="21"/>
  <c r="K39" i="21"/>
  <c r="J38" i="21"/>
  <c r="I30" i="21"/>
  <c r="J31" i="21"/>
  <c r="H14" i="21"/>
  <c r="C240" i="21" a="1"/>
  <c r="C240" i="21" s="1"/>
  <c r="C242" i="21" s="1" a="1"/>
  <c r="C242" i="21" s="1"/>
  <c r="I104" i="21" a="1"/>
  <c r="I104" i="21" s="1"/>
  <c r="I190" i="21" a="1"/>
  <c r="I190" i="21" s="1"/>
  <c r="K190" i="21" a="1"/>
  <c r="K190" i="21" s="1"/>
  <c r="C244" i="21" a="1"/>
  <c r="C244" i="21" s="1"/>
  <c r="F5" i="17"/>
  <c r="F4" i="17" s="1"/>
  <c r="L95" i="15"/>
  <c r="M94" i="15"/>
  <c r="L94" i="15" s="1"/>
  <c r="L17" i="15"/>
  <c r="L18" i="15"/>
  <c r="L79" i="15"/>
  <c r="M66" i="15"/>
  <c r="K14" i="15"/>
  <c r="E5" i="17" l="1"/>
  <c r="E4" i="17" s="1"/>
  <c r="K77" i="17"/>
  <c r="K5" i="17"/>
  <c r="K4" i="17" s="1"/>
  <c r="M229" i="21"/>
  <c r="N229" i="21" s="1"/>
  <c r="M227" i="21"/>
  <c r="L227" i="21"/>
  <c r="K217" i="21"/>
  <c r="L217" i="21" s="1"/>
  <c r="M232" i="21"/>
  <c r="N232" i="21" s="1"/>
  <c r="L228" i="21"/>
  <c r="J216" i="21" a="1"/>
  <c r="J216" i="21" s="1"/>
  <c r="J215" i="21" s="1" a="1"/>
  <c r="J215" i="21" s="1"/>
  <c r="L230" i="21"/>
  <c r="M230" i="21" s="1"/>
  <c r="M228" i="21"/>
  <c r="N228" i="21" s="1"/>
  <c r="L224" i="21"/>
  <c r="M224" i="21" s="1"/>
  <c r="N224" i="21" s="1"/>
  <c r="K226" i="21"/>
  <c r="L226" i="21" s="1"/>
  <c r="M226" i="21" s="1"/>
  <c r="N226" i="21" s="1"/>
  <c r="M225" i="21"/>
  <c r="N225" i="21" s="1"/>
  <c r="M221" i="21"/>
  <c r="N221" i="21" s="1"/>
  <c r="I216" i="21" a="1"/>
  <c r="I216" i="21" s="1"/>
  <c r="I215" i="21" s="1" a="1"/>
  <c r="I215" i="21" s="1"/>
  <c r="M218" i="21"/>
  <c r="K219" i="21"/>
  <c r="L219" i="21" s="1"/>
  <c r="K220" i="21"/>
  <c r="K203" i="21"/>
  <c r="J202" i="21"/>
  <c r="J201" i="21" s="1"/>
  <c r="J200" i="21" s="1" a="1"/>
  <c r="J200" i="21" s="1"/>
  <c r="L206" i="21"/>
  <c r="K205" i="21" a="1"/>
  <c r="K205" i="21" s="1"/>
  <c r="K195" i="21" a="1"/>
  <c r="K195" i="21" s="1"/>
  <c r="K176" i="21" a="1"/>
  <c r="K176" i="21" s="1"/>
  <c r="L177" i="21"/>
  <c r="M173" i="21"/>
  <c r="N173" i="21" s="1"/>
  <c r="L172" i="21" a="1"/>
  <c r="L172" i="21" s="1"/>
  <c r="K162" i="21" a="1"/>
  <c r="K162" i="21" s="1"/>
  <c r="L163" i="21"/>
  <c r="M149" i="21"/>
  <c r="J99" i="21"/>
  <c r="I98" i="21"/>
  <c r="I95" i="21" s="1"/>
  <c r="K96" i="21"/>
  <c r="K88" i="21"/>
  <c r="J87" i="21" a="1"/>
  <c r="J87" i="21" s="1"/>
  <c r="K85" i="21"/>
  <c r="L86" i="21"/>
  <c r="H13" i="21"/>
  <c r="I72" i="21"/>
  <c r="I60" i="21" s="1"/>
  <c r="J73" i="21"/>
  <c r="J64" i="21"/>
  <c r="K65" i="21"/>
  <c r="K56" i="21"/>
  <c r="J53" i="21" a="1"/>
  <c r="J53" i="21" s="1"/>
  <c r="K52" i="21"/>
  <c r="J51" i="21"/>
  <c r="L39" i="21"/>
  <c r="K38" i="21"/>
  <c r="J30" i="21"/>
  <c r="K31" i="21"/>
  <c r="I14" i="21"/>
  <c r="J104" i="21" a="1"/>
  <c r="J104" i="21" s="1"/>
  <c r="I147" i="21" a="1"/>
  <c r="I147" i="21" s="1"/>
  <c r="I103" i="21" s="1" a="1"/>
  <c r="I103" i="21" s="1"/>
  <c r="J190" i="21" a="1"/>
  <c r="J190" i="21" s="1"/>
  <c r="J147" i="21" s="1" a="1"/>
  <c r="J147" i="21" s="1"/>
  <c r="L190" i="21" a="1"/>
  <c r="L190" i="21" s="1"/>
  <c r="D12" i="21" a="1"/>
  <c r="D12" i="21" s="1"/>
  <c r="L66" i="15"/>
  <c r="M65" i="15"/>
  <c r="N149" i="21" l="1"/>
  <c r="N148" i="21" s="1"/>
  <c r="M148" i="21"/>
  <c r="N227" i="21"/>
  <c r="M217" i="21"/>
  <c r="N217" i="21" s="1"/>
  <c r="E12" i="21" a="1"/>
  <c r="E12" i="21" s="1"/>
  <c r="N230" i="21"/>
  <c r="L220" i="21"/>
  <c r="L216" i="21" s="1" a="1"/>
  <c r="L216" i="21" s="1"/>
  <c r="L215" i="21" s="1" a="1"/>
  <c r="L215" i="21" s="1"/>
  <c r="K216" i="21" a="1"/>
  <c r="K216" i="21" s="1"/>
  <c r="K215" i="21" s="1" a="1"/>
  <c r="K215" i="21" s="1"/>
  <c r="M219" i="21"/>
  <c r="N219" i="21" s="1"/>
  <c r="N218" i="21"/>
  <c r="L203" i="21"/>
  <c r="K202" i="21"/>
  <c r="K201" i="21" s="1"/>
  <c r="K200" i="21" s="1" a="1"/>
  <c r="K200" i="21" s="1"/>
  <c r="L205" i="21" a="1"/>
  <c r="L205" i="21" s="1"/>
  <c r="M206" i="21"/>
  <c r="N206" i="21" s="1"/>
  <c r="L195" i="21" a="1"/>
  <c r="L195" i="21" s="1"/>
  <c r="L176" i="21" a="1"/>
  <c r="L176" i="21" s="1"/>
  <c r="M177" i="21"/>
  <c r="N177" i="21" s="1"/>
  <c r="M172" i="21" a="1"/>
  <c r="M172" i="21" s="1"/>
  <c r="N172" i="21" a="1"/>
  <c r="N172" i="21" s="1"/>
  <c r="K147" i="21" a="1"/>
  <c r="K147" i="21" s="1"/>
  <c r="L162" i="21" a="1"/>
  <c r="L162" i="21" s="1"/>
  <c r="M163" i="21"/>
  <c r="N163" i="21" s="1"/>
  <c r="J98" i="21"/>
  <c r="J95" i="21" s="1"/>
  <c r="K99" i="21"/>
  <c r="L96" i="21"/>
  <c r="L88" i="21"/>
  <c r="K87" i="21" a="1"/>
  <c r="K87" i="21" s="1"/>
  <c r="M86" i="21"/>
  <c r="N86" i="21" s="1"/>
  <c r="L85" i="21"/>
  <c r="I13" i="21"/>
  <c r="J72" i="21"/>
  <c r="J60" i="21" s="1"/>
  <c r="K73" i="21"/>
  <c r="K64" i="21"/>
  <c r="L65" i="21"/>
  <c r="L56" i="21"/>
  <c r="K53" i="21" a="1"/>
  <c r="K53" i="21" s="1"/>
  <c r="K51" i="21"/>
  <c r="L52" i="21"/>
  <c r="M39" i="21"/>
  <c r="N39" i="21" s="1"/>
  <c r="L38" i="21"/>
  <c r="L31" i="21"/>
  <c r="K30" i="21"/>
  <c r="J14" i="21"/>
  <c r="K104" i="21" a="1"/>
  <c r="K104" i="21" s="1"/>
  <c r="J103" i="21" a="1"/>
  <c r="J103" i="21" s="1"/>
  <c r="J102" i="21" s="1" a="1"/>
  <c r="J102" i="21" s="1"/>
  <c r="I102" i="21" a="1"/>
  <c r="I102" i="21" s="1"/>
  <c r="M190" i="21" a="1"/>
  <c r="M190" i="21" s="1"/>
  <c r="L65" i="15"/>
  <c r="M16" i="15"/>
  <c r="M220" i="21" l="1"/>
  <c r="N220" i="21" s="1"/>
  <c r="M216" i="21" a="1"/>
  <c r="M216" i="21" s="1"/>
  <c r="M215" i="21" s="1" a="1"/>
  <c r="M215" i="21" s="1"/>
  <c r="F12" i="21" a="1"/>
  <c r="F12" i="21" s="1"/>
  <c r="N216" i="21" a="1"/>
  <c r="N216" i="21" s="1"/>
  <c r="N215" i="21" s="1" a="1"/>
  <c r="N215" i="21" s="1"/>
  <c r="M203" i="21"/>
  <c r="N203" i="21" s="1"/>
  <c r="L202" i="21"/>
  <c r="L201" i="21" s="1"/>
  <c r="L200" i="21" s="1" a="1"/>
  <c r="L200" i="21" s="1"/>
  <c r="O172" i="21" a="1"/>
  <c r="O172" i="21" s="1"/>
  <c r="M205" i="21" a="1"/>
  <c r="M205" i="21" s="1"/>
  <c r="N195" i="21" a="1"/>
  <c r="N195" i="21" s="1"/>
  <c r="M195" i="21" a="1"/>
  <c r="M195" i="21" s="1"/>
  <c r="M176" i="21" a="1"/>
  <c r="M176" i="21" s="1"/>
  <c r="L147" i="21" a="1"/>
  <c r="L147" i="21" s="1"/>
  <c r="O173" i="21"/>
  <c r="K103" i="21" a="1"/>
  <c r="K103" i="21" s="1"/>
  <c r="K102" i="21" s="1" a="1"/>
  <c r="K102" i="21" s="1"/>
  <c r="N162" i="21" a="1"/>
  <c r="N162" i="21" s="1"/>
  <c r="M162" i="21" a="1"/>
  <c r="M162" i="21" s="1"/>
  <c r="O163" i="21"/>
  <c r="O148" i="21" a="1"/>
  <c r="O148" i="21" s="1"/>
  <c r="O149" i="21"/>
  <c r="L99" i="21"/>
  <c r="K98" i="21"/>
  <c r="K95" i="21" s="1"/>
  <c r="N96" i="21"/>
  <c r="M96" i="21"/>
  <c r="L87" i="21" a="1"/>
  <c r="L87" i="21" s="1"/>
  <c r="M88" i="21"/>
  <c r="M85" i="21"/>
  <c r="L73" i="21"/>
  <c r="K72" i="21"/>
  <c r="K60" i="21" s="1"/>
  <c r="J13" i="21"/>
  <c r="M65" i="21"/>
  <c r="N65" i="21" s="1"/>
  <c r="L64" i="21"/>
  <c r="M56" i="21"/>
  <c r="N56" i="21" s="1"/>
  <c r="L53" i="21" a="1"/>
  <c r="L53" i="21" s="1"/>
  <c r="L51" i="21"/>
  <c r="M52" i="21"/>
  <c r="N52" i="21" s="1"/>
  <c r="N38" i="21"/>
  <c r="M38" i="21"/>
  <c r="M31" i="21"/>
  <c r="N31" i="21" s="1"/>
  <c r="L30" i="21"/>
  <c r="O16" i="21"/>
  <c r="K14" i="21"/>
  <c r="N190" i="21" a="1"/>
  <c r="N190" i="21" s="1"/>
  <c r="M104" i="21" a="1"/>
  <c r="M104" i="21" s="1"/>
  <c r="L104" i="21" a="1"/>
  <c r="L104" i="21" s="1"/>
  <c r="M15" i="15"/>
  <c r="L16" i="15"/>
  <c r="N202" i="21" l="1"/>
  <c r="N201" i="21" s="1"/>
  <c r="N200" i="21" s="1"/>
  <c r="M202" i="21"/>
  <c r="M201" i="21" s="1"/>
  <c r="M200" i="21" s="1" a="1"/>
  <c r="M200" i="21" s="1"/>
  <c r="M147" i="21" a="1"/>
  <c r="M147" i="21" s="1"/>
  <c r="M103" i="21" s="1" a="1"/>
  <c r="M103" i="21" s="1"/>
  <c r="N205" i="21" a="1"/>
  <c r="N205" i="21" s="1"/>
  <c r="O205" i="21" s="1" a="1"/>
  <c r="O205" i="21" s="1"/>
  <c r="O206" i="21"/>
  <c r="O196" i="21"/>
  <c r="L103" i="21" a="1"/>
  <c r="L103" i="21" s="1"/>
  <c r="L102" i="21" s="1" a="1"/>
  <c r="L102" i="21" s="1"/>
  <c r="N176" i="21" a="1"/>
  <c r="N176" i="21" s="1"/>
  <c r="O176" i="21" s="1" a="1"/>
  <c r="O176" i="21" s="1"/>
  <c r="O177" i="21"/>
  <c r="O162" i="21" a="1"/>
  <c r="O162" i="21" s="1"/>
  <c r="M99" i="21"/>
  <c r="N99" i="21" s="1"/>
  <c r="L98" i="21"/>
  <c r="L95" i="21" s="1"/>
  <c r="O96" i="21"/>
  <c r="N88" i="21"/>
  <c r="N87" i="21" s="1" a="1"/>
  <c r="N87" i="21" s="1"/>
  <c r="M87" i="21" a="1"/>
  <c r="M87" i="21" s="1"/>
  <c r="N85" i="21"/>
  <c r="O86" i="21"/>
  <c r="K13" i="21"/>
  <c r="M73" i="21"/>
  <c r="N73" i="21" s="1"/>
  <c r="L72" i="21"/>
  <c r="L60" i="21" s="1"/>
  <c r="M64" i="21"/>
  <c r="M53" i="21" a="1"/>
  <c r="M53" i="21" s="1"/>
  <c r="N51" i="21"/>
  <c r="M51" i="21"/>
  <c r="O39" i="21"/>
  <c r="M30" i="21"/>
  <c r="Q16" i="21"/>
  <c r="O14" i="21"/>
  <c r="L14" i="21"/>
  <c r="O190" i="21" a="1"/>
  <c r="O190" i="21" s="1"/>
  <c r="M14" i="15"/>
  <c r="L14" i="15" s="1"/>
  <c r="L15" i="15"/>
  <c r="O88" i="21" l="1"/>
  <c r="O87" i="21" s="1" a="1"/>
  <c r="O87" i="21" s="1"/>
  <c r="G12" i="21" a="1"/>
  <c r="G12" i="21" s="1"/>
  <c r="O200" i="21" a="1"/>
  <c r="O200" i="21" s="1"/>
  <c r="M102" i="21" a="1"/>
  <c r="M102" i="21" s="1"/>
  <c r="O203" i="21"/>
  <c r="O202" i="21" s="1"/>
  <c r="O201" i="21" s="1"/>
  <c r="O195" i="21" a="1"/>
  <c r="O195" i="21" s="1"/>
  <c r="O147" i="21" s="1" a="1"/>
  <c r="O147" i="21" s="1"/>
  <c r="N147" i="21" a="1"/>
  <c r="N147" i="21" s="1"/>
  <c r="M98" i="21"/>
  <c r="M95" i="21" s="1"/>
  <c r="O85" i="21"/>
  <c r="Q86" i="21"/>
  <c r="L13" i="21"/>
  <c r="M72" i="21"/>
  <c r="M60" i="21" s="1"/>
  <c r="N64" i="21"/>
  <c r="O65" i="21"/>
  <c r="N53" i="21" a="1"/>
  <c r="N53" i="21" s="1"/>
  <c r="O56" i="21"/>
  <c r="O52" i="21"/>
  <c r="O51" i="21" s="1"/>
  <c r="O38" i="21"/>
  <c r="N30" i="21"/>
  <c r="O31" i="21"/>
  <c r="N14" i="21"/>
  <c r="M14" i="21"/>
  <c r="N104" i="21" a="1"/>
  <c r="N104" i="21" s="1"/>
  <c r="C13" i="16" a="1"/>
  <c r="C13" i="16" s="1"/>
  <c r="N103" i="21" l="1" a="1"/>
  <c r="N103" i="21" s="1"/>
  <c r="N102" i="21" s="1"/>
  <c r="N98" i="21"/>
  <c r="N95" i="21" s="1"/>
  <c r="O99" i="21"/>
  <c r="N72" i="21"/>
  <c r="N60" i="21" s="1"/>
  <c r="O73" i="21"/>
  <c r="M13" i="21"/>
  <c r="O64" i="21"/>
  <c r="O53" i="21" a="1"/>
  <c r="O53" i="21" s="1"/>
  <c r="O30" i="21"/>
  <c r="Q31" i="21"/>
  <c r="O104" i="21" a="1"/>
  <c r="O104" i="21" s="1"/>
  <c r="H12" i="21" l="1" a="1"/>
  <c r="H12" i="21" s="1"/>
  <c r="O103" i="21" a="1"/>
  <c r="O103" i="21" s="1"/>
  <c r="R103" i="21" s="1"/>
  <c r="O98" i="21"/>
  <c r="O95" i="21" s="1"/>
  <c r="N13" i="21"/>
  <c r="O72" i="21"/>
  <c r="O60" i="21" s="1"/>
  <c r="O102" i="21" a="1"/>
  <c r="O102" i="21" s="1"/>
  <c r="P102" i="21" l="1"/>
  <c r="Q102" i="21" s="1"/>
  <c r="I12" i="21" a="1"/>
  <c r="I12" i="21" s="1"/>
  <c r="O13" i="21"/>
  <c r="J12" i="21" l="1" a="1"/>
  <c r="J12" i="21" s="1"/>
  <c r="K12" i="21" l="1" a="1"/>
  <c r="K12" i="21" s="1"/>
  <c r="L12" i="21" l="1" a="1"/>
  <c r="L12" i="21" s="1"/>
  <c r="M12" i="21" l="1" a="1"/>
  <c r="M12" i="21" s="1"/>
  <c r="N12" i="21" l="1" a="1"/>
  <c r="N12"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J9" authorId="0" shapeId="0" xr:uid="{00000000-0006-0000-0700-000001000000}">
      <text>
        <r>
          <rPr>
            <sz val="11"/>
            <color indexed="8"/>
            <rFont val="Helvetica Neue"/>
          </rPr>
          <t>Usuario:
El EBITDA es un indicador financiero (Earnings Before Interest Taxes Depreciation and Amortization), que muestra el beneficio de la empresa antes de restar los intereses que tienes que pagar por la deuda contraída, los impuestos propios del negocio, las depreciaciones por deterioro de este, y la amortización de las inversiones realizadas. El propósito del EBITDA es obtener una imagen fiel de lo que la empresa está ganando o perdiendo en el núcleo del negocio.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J10" authorId="0" shapeId="0" xr:uid="{00000000-0006-0000-0800-000001000000}">
      <text>
        <r>
          <rPr>
            <sz val="11"/>
            <color indexed="8"/>
            <rFont val="Helvetica Neue"/>
          </rPr>
          <t>Usuario:
El EBITDA es un indicador financiero (Earnings Before Interest Taxes Depreciation and Amortization), que muestra el beneficio de la empresa antes de restar los intereses que tienes que pagar por la deuda contraída, los impuestos propios del negocio, las depreciaciones por deterioro de este, y la amortización de las inversiones realizadas. El propósito del EBITDA es obtener una imagen fiel de lo que la empresa está ganando o perdiendo en el núcleo del negocio.</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<sst xmlns="http://schemas.openxmlformats.org/spreadsheetml/2006/main" count="1833" uniqueCount="1297">
  <si>
    <t>Sistema Integrado de Gestión</t>
  </si>
  <si>
    <t>PLAN</t>
  </si>
  <si>
    <t xml:space="preserve">Codigo: PL01-PR02-GGE </t>
  </si>
  <si>
    <t>PLAN DE GESTIÓN Y RESULTADOS</t>
  </si>
  <si>
    <t>Versión: 01</t>
  </si>
  <si>
    <t>Noviembre de 2024</t>
  </si>
  <si>
    <t>HISTORIAL DE CAMBIOS</t>
  </si>
  <si>
    <t>VERSIÓN</t>
  </si>
  <si>
    <t>DESCRIPCIÓN DEL CAMBIO</t>
  </si>
  <si>
    <t>MOTIVO DEL CAMBIO</t>
  </si>
  <si>
    <t xml:space="preserve">FECHA DE ACTUALIZACIÓN </t>
  </si>
  <si>
    <t>Creación del formato</t>
  </si>
  <si>
    <t>Noviembre de 2025</t>
  </si>
  <si>
    <t>DÓNDE DECIDIMOS LLEGAR:</t>
  </si>
  <si>
    <t>Cómo alineamos nuestros objetivos</t>
  </si>
  <si>
    <t>Son logros que esperamos alcanzar</t>
  </si>
  <si>
    <t>OBJETIVOS ESTRATÉGICOS</t>
  </si>
  <si>
    <t xml:space="preserve">NOMBRE DEL INDICADOR </t>
  </si>
  <si>
    <t>FORMA DE CÁLCULO</t>
  </si>
  <si>
    <t>METAS</t>
  </si>
  <si>
    <t>FORTALECER LA SOSTENBILIDAD ECONOMICA</t>
  </si>
  <si>
    <t>Razon corriente</t>
  </si>
  <si>
    <t>Activo /Pasivo
corriente</t>
  </si>
  <si>
    <t>&gt; = 1.96 Veces</t>
  </si>
  <si>
    <t>Rotación
cuentas por
pagar</t>
  </si>
  <si>
    <t>(Cuentas por
pagar/ Costos
de Ventas) *365</t>
  </si>
  <si>
    <t>&lt;= 20.59 dias</t>
  </si>
  <si>
    <t>Rotación
cuentas por
cobrar</t>
  </si>
  <si>
    <t>Cuentas por
cobrar/ Ingresos
Operacionales)
*365</t>
  </si>
  <si>
    <t>&lt;= 46.35 dias</t>
  </si>
  <si>
    <t>Margen
Operacional</t>
  </si>
  <si>
    <t>(EBITDA/
Ingresos
Operacionales)
*100</t>
  </si>
  <si>
    <t xml:space="preserve">&lt;37.40% </t>
  </si>
  <si>
    <t>Cubrimiento
de gastos
financieros</t>
  </si>
  <si>
    <t>Cubrimiento de
gastos
financiero
(EBITDA/Gastos
financieros)</t>
  </si>
  <si>
    <t>&lt; 21.01
veces</t>
  </si>
  <si>
    <t>Recaudo de
Aseo</t>
  </si>
  <si>
    <t>Valor del
recaudo de
Aseo/Valor
facturación
Aseo) *100</t>
  </si>
  <si>
    <t xml:space="preserve">&gt;85% </t>
  </si>
  <si>
    <t>Perdida de
Energía</t>
  </si>
  <si>
    <t>1- ( Kw/h mes  comercializados/ Kw/h mes generados</t>
  </si>
  <si>
    <t>&lt;= 10%</t>
  </si>
  <si>
    <t>FORTALECER LAS COMPETENCIAS DEL CAPITAL HUMANO.</t>
  </si>
  <si>
    <t>Programa de Capacitación</t>
  </si>
  <si>
    <t>(N° de capacitaciones Realizadas/ N° Capacitaciones programadas) *100</t>
  </si>
  <si>
    <t>Programa de Inducción/Reinducción</t>
  </si>
  <si>
    <t>(N° de trabajadores con inducción/Reinducción/ N° total de trabajadores)</t>
  </si>
  <si>
    <t>MEJORAR EL POSICIONAMIENTO DE EMELCE A NIVEL NACIONAL</t>
  </si>
  <si>
    <t>Relación suscriptores sin medición</t>
  </si>
  <si>
    <t>Suscriptores sin medición/ Suscriptores totales) *100</t>
  </si>
  <si>
    <t>Atención
reclamo
servicios</t>
  </si>
  <si>
    <t>(Usuarios
afectados /Total
de usuarios)
*100</t>
  </si>
  <si>
    <t>&lt;0,71%</t>
  </si>
  <si>
    <t>Oportunidad 
de Atención a 
las PQRS</t>
  </si>
  <si>
    <t>(N° de PQRS Resueltas en dias /N° Total de PQRS Recibidas) *100</t>
  </si>
  <si>
    <t>&lt;= 15 dias habiles</t>
  </si>
  <si>
    <t>Relación
reclamos de
facturación
(10,000)</t>
  </si>
  <si>
    <t>Reclamos de
facturación/
Facturas
expedidas)
*10.000</t>
  </si>
  <si>
    <t>&lt;24.91
%</t>
  </si>
  <si>
    <t>Atención
solicitud conexión</t>
  </si>
  <si>
    <t>(Usuarios afectados/ Total usuarios) *100</t>
  </si>
  <si>
    <t>&gt; 15 dias habiles</t>
  </si>
  <si>
    <t xml:space="preserve"> &gt; 15 dias habiles</t>
  </si>
  <si>
    <t xml:space="preserve"> &gt;15 dias habiles</t>
  </si>
  <si>
    <t>Oportunidad a
la respuesta
de la solicitud
de factibilidad
del servicio</t>
  </si>
  <si>
    <t>&gt; 7 dias  habiles</t>
  </si>
  <si>
    <t>&gt; 7 dias habiles</t>
  </si>
  <si>
    <t>&gt; 7  dias habiles</t>
  </si>
  <si>
    <t xml:space="preserve">Cumplimiento
de las
Revisiones por consumos anormales </t>
  </si>
  <si>
    <t>(Revisiones
realizadas
/revisiones
programadas) *
100</t>
  </si>
  <si>
    <t>FORTALECER LA PLANEACIÓN Y EJECUCIÓN DE LAS INVERSIONES.</t>
  </si>
  <si>
    <t>Cumplimiento
del programa
de
Mantenimiento
de redes
eléctricas</t>
  </si>
  <si>
    <t>(N°
Manteamientos
Realizados /N°
Mantenimientos
Programados)
*100</t>
  </si>
  <si>
    <t>1. Fortalecer la sostenbibilidad económica.</t>
  </si>
  <si>
    <t xml:space="preserve">No </t>
  </si>
  <si>
    <t>DESCRIPCIÓN DEL INDICADOR</t>
  </si>
  <si>
    <t>RESPONSABLE DE PRESENTAR INFORMES</t>
  </si>
  <si>
    <t>PERIODICIDAD DE CÁLCULO</t>
  </si>
  <si>
    <t>PERIODICIDAD DE REPORTE</t>
  </si>
  <si>
    <t>VARIBLES QUE INTERVIENEN EN EL CÁLCULO</t>
  </si>
  <si>
    <t>FUENTE DE INFORMACIÓN</t>
  </si>
  <si>
    <t>NORMATIVIDAD</t>
  </si>
  <si>
    <t>Razon corriente (veces)</t>
  </si>
  <si>
    <t>Indica el cubrimiento que tiene la empresa de sus obligaciones de corto plazo.</t>
  </si>
  <si>
    <t>Lider contable y financiero.</t>
  </si>
  <si>
    <t xml:space="preserve">TrImestral </t>
  </si>
  <si>
    <t xml:space="preserve">Trimestral </t>
  </si>
  <si>
    <t>Efectivo y equivalentes de efectivo (caja, bancos).
Inversiones temporales.
Cuentas por cobrar (clientes).
Inventarios.
Gastos pagados por anticipado.</t>
  </si>
  <si>
    <r>
      <rPr>
        <u/>
        <sz val="11"/>
        <color indexed="17"/>
        <rFont val="Calibri"/>
        <family val="2"/>
      </rPr>
      <t>https://gestornormativo.creg.gov.co/gestor/entorno/docs/resolucion_creg_0034_2004.htm</t>
    </r>
  </si>
  <si>
    <t>Resolución creg 034 de 20204.</t>
  </si>
  <si>
    <t>Rotación
cuentas por
pagar (dias)</t>
  </si>
  <si>
    <t>Este indicador mide la gestión de la empresa en el pago oportuno de los insumos necesarios.</t>
  </si>
  <si>
    <t>Compras Totales a Proveedores-Promedio de Cuentas por Paga</t>
  </si>
  <si>
    <t>Rotación
cuentas por
cobrar (dias)</t>
  </si>
  <si>
    <t>Este indicador mide la gestión realizada por la empresa para el cobro efectivo de los servicios prestados.</t>
  </si>
  <si>
    <t>Ventas a crédito netas-Promedio de cuentas por cobrar</t>
  </si>
  <si>
    <t>Margen
Operacional (%)</t>
  </si>
  <si>
    <t>EBITDA corresponde a la utilidad antes de intereses, impuestos, depreciaciones, amortizaciones y resultados no operacionales(Earnign Before Interest, Taxes,Depreciatión, Amortización)</t>
  </si>
  <si>
    <t>Ingresos operativos-Gastos operativos-Costos de los bienes vendidos-Gastos administrativos-Precios</t>
  </si>
  <si>
    <t>Informa sobre la capacidad de generación de fondos por parte de la empresa para el pago de los gastos financieros</t>
  </si>
  <si>
    <t>Ingresos Totales-Costos Fijos-Costos Variables</t>
  </si>
  <si>
    <t>Recaudo de pagos
Aseo</t>
  </si>
  <si>
    <t>Actividad que comprende la recepción y control de pagos por los servicios y otros conceptos relacionados con los mismos, que se realicen en cajas de la persona prestadora concedente o de las entidades designadas para tal fin.</t>
  </si>
  <si>
    <t>Lider administrativo y comercialización</t>
  </si>
  <si>
    <t xml:space="preserve">Mensual </t>
  </si>
  <si>
    <t>Trimestral.</t>
  </si>
  <si>
    <r>
      <rPr>
        <u/>
        <sz val="11"/>
        <color indexed="17"/>
        <rFont val="Calibri"/>
        <family val="2"/>
      </rPr>
      <t>https://www.alcaldiabogota.gov.co/sisjur/normas/Norma1.jsp?i=19990</t>
    </r>
  </si>
  <si>
    <t>Resolución CRA 151 de 2001.</t>
  </si>
  <si>
    <t>Es la energía perdida en un Sistema de Distribución y reconocida por la Comisión de Regulación de Energía y Gas, para el caso de las zonas no interconectadas el indicador eficiente es =&lt; 10%</t>
  </si>
  <si>
    <t>Energia generada.
Energia comercializada.</t>
  </si>
  <si>
    <t>(Total Kwh
Comercializado
s Emelce/ Total
Kwh generados
GENSA) *100</t>
  </si>
  <si>
    <r>
      <rPr>
        <u/>
        <sz val="11"/>
        <color indexed="17"/>
        <rFont val="Calibri"/>
        <family val="2"/>
      </rPr>
      <t>https://gestornormativo.creg.gov.co/gestor/entorno/docs/resolucion_creg_0091_2007.htm</t>
    </r>
  </si>
  <si>
    <t>Resolución creg 091 de 2007.</t>
  </si>
  <si>
    <t>2. Fortalecer las competencias del capital humano.</t>
  </si>
  <si>
    <t>Este indicador permite medir  porcentualmente el grado de cumplimiento del plan de capacitaciones de la empresa.</t>
  </si>
  <si>
    <t>Trimestal.</t>
  </si>
  <si>
    <t>Numero de capacitaciones realizadas- numero de capacitaciones planeadas.</t>
  </si>
  <si>
    <t>Decisión empresarial No GG-20241000001795 (02 de julio de 2024)</t>
  </si>
  <si>
    <t>Este indicador permite medir  porcentualmente el la ejecución del programa de inducción/reinducción de la empresa.</t>
  </si>
  <si>
    <t>Numero de colaboradores que ingresan a la empresa- numero de colaboradores de la empresa.</t>
  </si>
  <si>
    <r>
      <rPr>
        <u/>
        <sz val="11"/>
        <color indexed="17"/>
        <rFont val="Calibri"/>
        <family val="2"/>
      </rPr>
      <t>https://www.emelcesa.com/copy-4-of-caracterizacion-gd-4-1-3</t>
    </r>
  </si>
  <si>
    <t xml:space="preserve">SIG </t>
  </si>
  <si>
    <t>3. Mejorar el posionamiento de EMELCE a nivel nacional.</t>
  </si>
  <si>
    <t xml:space="preserve">Este indicador mide porcentualmente el numero de suscriptores sin sistemas de medición, es aplicable a las empresas comercializadoras </t>
  </si>
  <si>
    <t>Mensual</t>
  </si>
  <si>
    <t>Trimestral</t>
  </si>
  <si>
    <t>Suscriptores.</t>
  </si>
  <si>
    <t>Este indicador mide el porcentaje de usuarios al que se le atiende su reclamo en un número de dias superior al "tiempo referencia"</t>
  </si>
  <si>
    <t>Tiempo de resolución, tiempo de referencia</t>
  </si>
  <si>
    <t>Este indicador mide la oportunidad de respuestas en dias de las PQRS</t>
  </si>
  <si>
    <t>Tiempo de referencia, No de PQRS</t>
  </si>
  <si>
    <t>SIG</t>
  </si>
  <si>
    <t>Se contabiliza unicamente los reclamos resueltos a favor del suscriptor, para el caso de los comercializadores, o a favor de quien presenta el reclamo, si se trata de las otras actividades de la cadena.</t>
  </si>
  <si>
    <t>Reclamos resueltos a favor del cliente-Número de facturas emitidas- Factor de escala (10,000</t>
  </si>
  <si>
    <t>Atención
solicitud conexión(100%)</t>
  </si>
  <si>
    <t>Este indicador mide el porcentaje de usuarios a quienes se les atiende la solicitud de conexión en un numero de dias superior al tiempo de referencia.</t>
  </si>
  <si>
    <t>Lider de Generación y distribución.</t>
  </si>
  <si>
    <t xml:space="preserve">Numero de solicitudes de conexión- tiempo de referencia, numero de respuestas superior al tiempo de referencia. </t>
  </si>
  <si>
    <t>Este indicador mide el porcentaje de usuarios a quienes se les atiende la solicitud de factibilidad en un numero de dias superior al tiempo de referencia.</t>
  </si>
  <si>
    <t xml:space="preserve">Numero de solicitudes de factibilidad- tiempo de referencia, numero de respuestas superior al tiempo de referencia. </t>
  </si>
  <si>
    <r>
      <rPr>
        <u/>
        <sz val="11"/>
        <color indexed="17"/>
        <rFont val="Calibri"/>
        <family val="2"/>
      </rPr>
      <t>https://gestornormativo.creg.gov.co/gestor/entorno/docs/resolucion_creg_0070_1998.htm</t>
    </r>
  </si>
  <si>
    <t>Resolución creg No 070 de 1998.</t>
  </si>
  <si>
    <t>Cumplimiento
de las
Revisiones por consumos anormales.</t>
  </si>
  <si>
    <t>Este indicador mide el porcentaje de  revisiones atendidas en un numero de dias superior al   tiempo de referencia.</t>
  </si>
  <si>
    <t>Numero de consumos anormales, tiempo de referencia, numero de revisiones atendidas superior al tiempo de referencia.</t>
  </si>
  <si>
    <r>
      <rPr>
        <u/>
        <sz val="11"/>
        <color indexed="17"/>
        <rFont val="Calibri"/>
        <family val="2"/>
      </rPr>
      <t>https://www.emelcesa.com/normatividad</t>
    </r>
  </si>
  <si>
    <t>4. Fortalecer la planeación y ejecución de las innversiones</t>
  </si>
  <si>
    <t>Este indicador mide el procentaje en el cumplimiento de las actividades de mantenimiento programadas.</t>
  </si>
  <si>
    <t>Plan de mantenimientos</t>
  </si>
  <si>
    <t>Plan de mantenimiento EMELCE S.A.,E.S.P.</t>
  </si>
  <si>
    <t xml:space="preserve">ANALISIS FACTORES INTERNOS </t>
  </si>
  <si>
    <t>No</t>
  </si>
  <si>
    <t>FORTALEZAS</t>
  </si>
  <si>
    <t>DEBIDILIDADES</t>
  </si>
  <si>
    <t>Infraestructura en generación y distribucion de energia ya establecida en el mercado de EMELCE S.A.,E.S.P.</t>
  </si>
  <si>
    <t>No existe claridad en las funciones por partes
de los empleados</t>
  </si>
  <si>
    <t>Conocimiento profundo de las necesidades especificas en energia en el mercado de EMELCE S.A,.E.SP.</t>
  </si>
  <si>
    <t>Dependencia del diesel</t>
  </si>
  <si>
    <t>Servicio constante y confiable en los dos municipios del mercado de EMELCE S.A.,E.S.P.</t>
  </si>
  <si>
    <t>No existe una estrategia corporativa para gestión documental (archivo) de acuerdo con las normas reglamentarias.</t>
  </si>
  <si>
    <t xml:space="preserve">Produccion de energia renovable </t>
  </si>
  <si>
    <t>Deficiencias en la calidad del servicio.</t>
  </si>
  <si>
    <t>Experiencia en zonas no interconectadas</t>
  </si>
  <si>
    <t>Limitación en recursos tecnicos y financieros</t>
  </si>
  <si>
    <t>Perdidas de energia inferiores al maximo establecido por la CREG.</t>
  </si>
  <si>
    <t xml:space="preserve">No se cuenta con metodos de evaluación de competencia  de los colaboradores </t>
  </si>
  <si>
    <t>Liderazgo regional consolidado</t>
  </si>
  <si>
    <t>Se debe fortalecer la identiifcacion de la propiedad planta y equipo</t>
  </si>
  <si>
    <t>Estructura organizacional</t>
  </si>
  <si>
    <t>Falencia en la comunicación interna cuando se presentan ajustes, cambios en procedimientos, procesos e informacion transversal entre areas.</t>
  </si>
  <si>
    <t>Propietario de infraestructura electrica</t>
  </si>
  <si>
    <t xml:space="preserve">Deficiencias en la seguridad del sofware, en especial en el modulo de facturación, software de nomina deficiente </t>
  </si>
  <si>
    <t>Alto nivel de recaudo en los dos municipios del mercado.</t>
  </si>
  <si>
    <t>Planeación de las inversiones.</t>
  </si>
  <si>
    <t xml:space="preserve">Compromiso del personal </t>
  </si>
  <si>
    <t xml:space="preserve">Deficiencia en la actualización y manejo de activos electricos </t>
  </si>
  <si>
    <t>Baja rotación del personal, estabilidad laboral.</t>
  </si>
  <si>
    <t>No se ha establecido la metodologia o mecanismo para medir el clima laboral de la empresa.</t>
  </si>
  <si>
    <t>Desarrollo de plataformas virtuales para el pago del servicio.</t>
  </si>
  <si>
    <t>El manual de procedimientos no se actualiza, falta identificar,  diagramar el inlcuir un numero considerable de procedimientos.</t>
  </si>
  <si>
    <t>Se ha iniciado con la implementación del sistema integrado de gestión de la empresa.</t>
  </si>
  <si>
    <t>No existe un programa de capacitación.</t>
  </si>
  <si>
    <t>Alto porcentaje de cobertura en la prestación del servicio de energia electrica.</t>
  </si>
  <si>
    <t>Cultura monopolista</t>
  </si>
  <si>
    <t>Potenciameinto de canales virtuales</t>
  </si>
  <si>
    <t>Poco personal técnico que realza labores de mantenimiento
matrículas y reconexiones.</t>
  </si>
  <si>
    <t>La buena relación e imagen de la Empresa con las entidades nacionales, relacionadas con el sector.</t>
  </si>
  <si>
    <t>Baja disponibilidad de recursos humanos,logísticos económicos para realizar el evantamiento de insumos (información de
campo para la formulación de proyectos.</t>
  </si>
  <si>
    <t>Gestión oportuna frente al término, oportunidad y garantía de defensa técnica en los judiciales</t>
  </si>
  <si>
    <t>No se tiene claridad en la responsabilidad de cargue de informes, pago de licencias, contribuciones, cuotas.</t>
  </si>
  <si>
    <t>Sistema integrado de información ORFEO</t>
  </si>
  <si>
    <t>Accesibilidad a las partes interesadas a través de los canales de comunicación y herramientasde comunicación establecidos porl a empresa.</t>
  </si>
  <si>
    <t>No se ha actualizado el reglamento interno de trabajo, en especial lo concerniente a los aspectos disciplinarios.</t>
  </si>
  <si>
    <t xml:space="preserve">ANALISIS FACTORES EXTERNOS </t>
  </si>
  <si>
    <t>AMENAZAS</t>
  </si>
  <si>
    <t>OPORTUNIDADES</t>
  </si>
  <si>
    <t>Cambio climatico</t>
  </si>
  <si>
    <t xml:space="preserve">Incentivos Gubernamentales </t>
  </si>
  <si>
    <t>Politicas energeticas cambiantes</t>
  </si>
  <si>
    <t xml:space="preserve">Concienta ambiental </t>
  </si>
  <si>
    <t>Competencia en el sector energetico</t>
  </si>
  <si>
    <t>Avances tecnolgicos en energia</t>
  </si>
  <si>
    <t xml:space="preserve">Inestabilidad economica </t>
  </si>
  <si>
    <t>Desarrollo de nuevos mercados</t>
  </si>
  <si>
    <t>Desarrollo Tecnológico rápido</t>
  </si>
  <si>
    <t>Alianzas estrategicas</t>
  </si>
  <si>
    <t>Falta de capacidad instalada para respaldar la demanda de energia, en las  actividades de generación.</t>
  </si>
  <si>
    <t>Desarrollo tecnológico</t>
  </si>
  <si>
    <t>Alta dispersion de los usarios, en zonas rurales</t>
  </si>
  <si>
    <t>Potencial del energia solar en la zona del mercado de EMELCE S.A.,E.S.P.</t>
  </si>
  <si>
    <t>Baja capacidad adqusitiva usuarios dispersos ( comunidades indigenas)</t>
  </si>
  <si>
    <t>Poca capacidad  instalada en fuentes no convencionaes de energia solar, en le mercado de EMELCE S.A.,E.S.P.</t>
  </si>
  <si>
    <t xml:space="preserve">Aumento en los costos de operación por cambios en los precios del combustible. </t>
  </si>
  <si>
    <t>Buena relacion de trabajo con los entes gubernamentales</t>
  </si>
  <si>
    <t>Cambios en la normatividad que aplica para la empresa.</t>
  </si>
  <si>
    <t>Posibildad de acceder  a los recursos de los fondos de apoyo financiero ( FAZNI), para la ejecución de proyectos de expansión</t>
  </si>
  <si>
    <t>Orden publico que pueda afectar la prestación del servicio.</t>
  </si>
  <si>
    <t>Buena cultura de pago en la capital del departamento (Inirida)</t>
  </si>
  <si>
    <t>Percepcion negativa de los usuarios relacionado con la prestación del servicio de energia electrica</t>
  </si>
  <si>
    <t xml:space="preserve">Experiencia de la empresa en el sector. </t>
  </si>
  <si>
    <t xml:space="preserve">Litigios que tiene la empresa con terceros </t>
  </si>
  <si>
    <t>Ampliación de la cobertura</t>
  </si>
  <si>
    <t>Situacion economica, lo cual puede afectar el pago oportuno de los usuarios.</t>
  </si>
  <si>
    <t>Acceso a formación virtual que disminuye los costos tiempos de la formación, garantizando el continuo aprendizaje de los colaboradores.</t>
  </si>
  <si>
    <t>Altos costos del Kw/h para el usuario final, teniendo en cuenta la referencia del SIN mas cercano ( San Jose del Guaviare)</t>
  </si>
  <si>
    <t>Aumento de la demanda por el desarrollo turistico y dinamica del mercado.</t>
  </si>
  <si>
    <t>Sanciones generadas por elcincumplimiento a la regulación</t>
  </si>
  <si>
    <t>Posible ampliación del portafolio de negocios de la empresa.</t>
  </si>
  <si>
    <t>Lecturas de baja calidad ( no reales) por manipulacion de sofware</t>
  </si>
  <si>
    <t>Mejoramiento del servicio de alumbrado público.</t>
  </si>
  <si>
    <t>Pasivo Ministerio de Minas y energia.</t>
  </si>
  <si>
    <t xml:space="preserve">Transformación digiltal y la analitica avanzada en datos </t>
  </si>
  <si>
    <t xml:space="preserve"> Fluctuaciones del consumo de energía por parte de los usuarios</t>
  </si>
  <si>
    <t xml:space="preserve">Adecuada gestion de activos </t>
  </si>
  <si>
    <t>Conexiones fraudulentas por parte de la comunidad o Manipulación de infraestrucutura electrica.</t>
  </si>
  <si>
    <t>Acceso a recursos de diveresas fuentes, mediante la estrucuturación de proyectos sostenibles</t>
  </si>
  <si>
    <t>Parque generador obsoleto.</t>
  </si>
  <si>
    <t>La posibilidad de la ejecución de proyectos en otras zonas del pais</t>
  </si>
  <si>
    <t>DEBILIDADES</t>
  </si>
  <si>
    <t>No existe claridad en las funciones por partes de los empleados</t>
  </si>
  <si>
    <t>Poco personal técnico que realza labores de mantenimiento matrículas y reconexiones.</t>
  </si>
  <si>
    <t>Baja disponibilidad de recursos humanos,logísticos económicos para realizar el evantamiento de insumos (información de campo para la formulación de proyectos.</t>
  </si>
  <si>
    <t>Incentivos gubernamentales limitados</t>
  </si>
  <si>
    <t>ESTRATEGIAS FO</t>
  </si>
  <si>
    <t>ESTRATEGIAS DO</t>
  </si>
  <si>
    <t>Expandir la operación hacia nuevos mercados utilizando la infraestructura ya establecida, ofreciendo soluciones de energía confiables y sostenibles en áreas donde la infraestructura es limitada.</t>
  </si>
  <si>
    <t>Implementar un programa de capacitación que incluya la definición de roles y responsabilidades claras para los empleados, utilizando plataformas de formación virtual. Esto ayudará a mejorar la claridad sobre las funciones de cada persona en la organización.</t>
  </si>
  <si>
    <t xml:space="preserve">Aprovechar el conocimiento del mercado para desarrollar programas educativos e iniciativas que promuevan el uso responsable y sostenible de la energía, alineándose con el creciente interés por la sostenibilidad.
</t>
  </si>
  <si>
    <t>Desarrollar un proyecto para diversificar la matriz energética mediante la instalación de paneles solares, aprovechando incentivos gubernamentales y tecnología de vanguardia, reduciendo la dependencia del diésel y promoviendo la sostenibilidad.</t>
  </si>
  <si>
    <t>Colaborar con el gobierno para implementar proyectos que mejoren aún más el servicio, aprovechando incentivos para expandir y modernizar la infraestructura eléctrica.</t>
  </si>
  <si>
    <t>Establecer alianzas con empresas especializadas en gestión documental para implementar un sistema que cumpla con las normativas vigentes, mejorando la eficiencia y la conformidad regulatoria.</t>
  </si>
  <si>
    <t>Invertir en la implementación de paneles solares y otras fuentes de energía renovables para diversificar la matriz energética y captar un segmento creciente de clientes interesados en energía limpia.</t>
  </si>
  <si>
    <t>Implementar un programa de mejora continua del servicio, considerando las necesidades específicas del sector turístico, aumentando la calidad del servicio ofrecido a los usuarios.</t>
  </si>
  <si>
    <t>tilizar la experiencia acumulada para liderar proyectos de electrificación en regiones apartadas, aprovechando el conocimiento en operaciones en circunstancias desafiantes.</t>
  </si>
  <si>
    <t>Establecer un sistema de evaluación y seguimiento de competencias, complementado con formación continua, para aumentar las habilidades del personal y su rendimiento laboral.</t>
  </si>
  <si>
    <t xml:space="preserve">Formar alianzas con otras empresas del sector y organizaciones locales para mejorar la cobertura y los servicios a través de la colaboración y el intercambio de recursos.
</t>
  </si>
  <si>
    <t>Desarrollar proyectos que se alineen con los criterios de financiación de FAZNI para mejorar la infraestructura y los recursos disponibles, potenciando así el crecimiento y mejorando la eficiencia operativa.</t>
  </si>
  <si>
    <t xml:space="preserve">Desarrollar campañas de marketing que resalten la eficiencia y efectividad de EMELCE S.A. en la gestión de cobro y el uso responsable de la energía, incentivando a los clientes adecuados a que continúen sus pagos al día.
</t>
  </si>
  <si>
    <t>Implementar un sistema de evaluación del desempeño que permita identificar las necesidades de capacitación de los colaboradores y facilitar su formación a través de plataformas virtuales.</t>
  </si>
  <si>
    <t>Implementar programas de formación virtual para el personal, aprovechando la estabilidad laboral y el compromiso, para desarrollar aún más sus habilidades técnicas y de servicio al cliente</t>
  </si>
  <si>
    <t>Realizar encuestas y análisis del clima laboral para identificar áreas de mejora, lo que a su vez puede optimizar la atención de la demanda del servicio y contribuir positivamente al ambiente de trabajo.</t>
  </si>
  <si>
    <t>Mejorar las plataformas existentes y el uso de datos analíticos para optimizar la experiencia del cliente en la gestión de pagos y servicios, identificando patrones que ayuden a personalizar las ofertas.</t>
  </si>
  <si>
    <t>Desarrollar un sistema de gestión de activos que permita un seguimiento y control más efectivo de la infraestructura, asegurando que se aprovechen los recursos existentes de manera óptima.</t>
  </si>
  <si>
    <t>Continuar con la expansión del servicio hacia comunidades no atendidas, utilizando la infraestructura y experiencia existente para alcanzar nuevos clientes.</t>
  </si>
  <si>
    <t>Establecer un canal de comunicación interno robusto para la formación de grupos de trabajo que se encarguen de mantener actualizada la información transversal sobre cambios y procesos, fomentando una cultura de colaboración.</t>
  </si>
  <si>
    <t>Establecer relaciones sólidas con inversionistas y agencias gubernamentales para acceder a fondos que permitan el desarrollo de proyectos sostenibles y de expansión.</t>
  </si>
  <si>
    <t>Invertir en actualizar y mejorar los sistemas de seguridad de software, realizando auditorías y adoptando nuevas tecnologías para proteger la información y los procesos críticos de la empresa</t>
  </si>
  <si>
    <t xml:space="preserve">Colaborar estrechamente con estos entes para acceder a financiación para proyectos que favorezcan la transición hacia fuentes de energía más sostenibles y renovar la infraestructura existente.
</t>
  </si>
  <si>
    <t>Implementar un plan de inversión que priorice las áreas con mayor potencial de crecimiento, utilizando un enfoque basado en datos para realizar inversiones estratégicas que faciliten la expansión en nuevos mercados</t>
  </si>
  <si>
    <t>Invertir en la actualización tecnológica de procesos y sistemas, para mantener la posición de liderazgo y asegurar una respuesta rápida a los cambios del mercado.</t>
  </si>
  <si>
    <t>Aprovechar tecnologías de monitoreo avanzadas para hacer un seguimiento en tiempo real del estado de los activos y planificar su mantenimiento preventivo, mejorando la eficiencia operativa.</t>
  </si>
  <si>
    <t>Utilizar el conocimiento en gestión de activos para desarrollar proyectos que mejoren la infraestructura de alumbrado público en colaboración con los gobiernos locales.</t>
  </si>
  <si>
    <t>Realizar encuestas periódicas para medir el clima laboral y utilizar los resultados para mejorar el entorno de trabajo, al mismo tiempo que se promueve la responsabilidad social de la empresa hacia la comunidad.</t>
  </si>
  <si>
    <t xml:space="preserve">Fortalecer el equipo legal y crear protocolos que optimicen la respuesta ante litigios, invirtiendo en formación del personal en aspectos normativos y legales relevantes para prevenir conflictos.
</t>
  </si>
  <si>
    <t> Establecer una revisión anual del manual de procedimientos, asegurando que se incluyan las actualizaciones necesarias, y capacitar al personal en el uso de estos procedimientos.</t>
  </si>
  <si>
    <t>Desarrollar un programa de formación continua que contemple múltiples áreas, desde la atención al cliente hasta la gestión de tecnología, asegurando que todos los colaboradores estén bien capacitados.</t>
  </si>
  <si>
    <t>Fomentar un cambio cultural hacia una mentalidad más abierta y cooperativa, utilizando alianzas estratégicas para diversificar los servicios y aprender de otros participantes del mercado.</t>
  </si>
  <si>
    <t>Identificar y formar alianzas con instituciones educativas para reclutar y capacitar nuevos talentos, contribuyendo a la capacitación del personal técnico requerido.</t>
  </si>
  <si>
    <t>Implementar tecnología de gestión de proyectos que permita optimizar la utilización de los recursos y gestionar de manera eficiente el levantamiento de insumos.</t>
  </si>
  <si>
    <t>Acceso s recursos de diversos fuentes, mediante la estrucuturación de proyectos sostenibles.</t>
  </si>
  <si>
    <t>Establecer protocolos claros sobre las responsabilidades de informes y pagos, utilizando la buena cultura de pago de los usuarios como modelo para fomentar el cumplimiento.</t>
  </si>
  <si>
    <t>La posibilidad de la ejecución de proyectos en otras zonas del pais.</t>
  </si>
  <si>
    <t>Aprovechar los cambios en la normativa y políticas energéticas para actualizar el reglamento interno y que se alinee con las mejores prácticas del sector.</t>
  </si>
  <si>
    <t>Explorar fondos gubernamentales y asociaciones con entidades locales en nuevas áreas para obtener recursos que faciliten la recolección de datos para proyectos de expansión.</t>
  </si>
  <si>
    <t>AMENANZAS</t>
  </si>
  <si>
    <t>ESTRATEGIAS FA</t>
  </si>
  <si>
    <t>ESTRATEGIAS DA</t>
  </si>
  <si>
    <t xml:space="preserve">Utilizar la infraestructura existente para realizar un diagnóstico preciso sobre las necesidades de capacidad adicional y planificar inversiones en ampliaciones o mejoras, anticipando la demanda futura.
</t>
  </si>
  <si>
    <t xml:space="preserve"> Establecer un manual de funciones y roles claros para todos los empleados, acompañado de sesiones de inducción y capacitación sobre sus responsabilidades. Esto ayudará a alinear las expectativas y mejorar la eficiencia del servicio</t>
  </si>
  <si>
    <t>Implementar un programa de evaluación continua de las necesidades energéticas en comunidades específicas, creando soluciones personalizadas y miniredes que se adapten a los requerimientos locales.</t>
  </si>
  <si>
    <t xml:space="preserve">Investigar e implementar fuentes de energía renovable y alternativas al diésel, como la energía solar , para diversificar las fuentes de energía y reducir costos de operación.
</t>
  </si>
  <si>
    <t>Aprovechar el historial de servicio confiable para establecer una campaña de comunicación que resalte la eficiencia y calidad del servicio, así como testimonios positivos de los usuarios.</t>
  </si>
  <si>
    <t>Desarrollar un sistema de gestión documental que cumpla con las normativas y establezca protocolos claros para la organización y acceso a la información.</t>
  </si>
  <si>
    <t>Expandir la producción de energía renovable como una respuesta a las preocupaciones ambientales y al cambio climático, combinando fuentes como solar , y promocionando el compromiso con la sostenibilidad ante los usuarios.</t>
  </si>
  <si>
    <t xml:space="preserve">Implementar un programa de mejora continua que incluya la evaluación periódica del servicio y encuestas de satisfacción del cliente para identificar áreas de mejora.
</t>
  </si>
  <si>
    <t>Diferenciarse de la competencia al continuar desarrollando infraestructura y soluciones adaptadas a zonas no interconectadas, ofreciendo un servicio que sea visto como esencial y único en el mercado.</t>
  </si>
  <si>
    <t xml:space="preserve">Buscar alianzas estratégicas y financiamiento externo, así como la optimización de recursos internos, para mejorar los recursos técnicos y financieros disponibles.
</t>
  </si>
  <si>
    <t xml:space="preserve">Utilizar la eficiencia energética y la reducción de pérdidas como una herramienta de marketing para destacar la sostenibilidad y reducir el impacto financiero en momentos de aumentos de precios.
</t>
  </si>
  <si>
    <t>Diseñar e implementar un sistema de evaluación de desempeño que permita medir y desarrollar las competencias de los colaboradores con un enfoque en mejora continua</t>
  </si>
  <si>
    <t>Fortalecer la imagen de la empresa como un socio estable y confiable en la región, promoviendo inversiones en proyectos que generen empleo y mejoren la infraestructura local, incluso en tiempos de crisis.</t>
  </si>
  <si>
    <t>Implementar herramientas de comunicación interna efectivas, como plataformas digitales y reuniones periódicas para asegurar que todos los empleados estén informados sobre cambios y actualizaciones</t>
  </si>
  <si>
    <t xml:space="preserve">Fomentar una cultura de aprendizaje y capacitación continua para que el personal se mantenga actualizado sobre nueva tecnología, garantizando que la empresa no se quede atrás en innovación.
</t>
  </si>
  <si>
    <t>Realizar auditorías de seguridad y actualizar todos los sistemas de software, especialmente aquellos relacionados con la facturación y la nómina, para proteger la información sensible de la empres</t>
  </si>
  <si>
    <t>Implementar medidas de seguridad y accesibilidad en línea para que los clientes puedan realizar pagos y gestionar su servicio sin importar las condiciones del entorno.</t>
  </si>
  <si>
    <t>Desarrollar un plan estratégico de inversiones a largo plazo que contemple posibles fluctuaciones del mercado y cambios normativos, asegurando que la empresa esté siempre preparada.</t>
  </si>
  <si>
    <t xml:space="preserve">Establecer opciones de pago flexibles y programas de apoyo para usuarios con dificultades económicas, fomentando la lealtad y mejorando la recuperación del recaudo.
</t>
  </si>
  <si>
    <t xml:space="preserve">stablecer un plan regular de mantenimiento y actualización de activos eléctricos para garantizar que se mantengan operativos y eficientes.
</t>
  </si>
  <si>
    <t>Fortalecer el equipo legal y los protocolos internos para prevenir y manejar litigios de manera eficiente, minimizando el riesgo de impactos financieros severos.</t>
  </si>
  <si>
    <t>Implementar encuestas de clima laboral de manera regular y crear un comité que supervise el bienestar de los empleados.</t>
  </si>
  <si>
    <t>Promover una comunicación activa con la comunidad para informar sobre prácticas seguras y legales en el uso de la electricidad, implicándolos en la vigilancia y mantenimiento de las infraestructuras.</t>
  </si>
  <si>
    <t>Asignar responsabilidades a un equipo para revisar y actualizar el manual de procedimientos de manera continua, asegurando que sea un documento vivo.</t>
  </si>
  <si>
    <t>Mantener altos estándares de conformidad con la normativa vigente, utilizando la alta cobertura como un medio de garantizar cumplimiento y evitar sanciones.</t>
  </si>
  <si>
    <t xml:space="preserve"> Implementar un programa de capacitación integral que incluya formación técnica, atención al cliente y procesos internos, y establecer una cultura de aprendizaje continuo.</t>
  </si>
  <si>
    <t xml:space="preserve">Mantener diálogo continuo y colaborativo con reguladores para anticipar cambios normativos, asegurando que la empresa esté bien informada y adaptada a nuevas condiciones.
</t>
  </si>
  <si>
    <t xml:space="preserve">Fomentar un entorno más abierto a la competencia y la innovación, ofreciendo incentivos para nuevas ideas y mejora continua entre los empleados.
</t>
  </si>
  <si>
    <t>Utilizar el sistema integrado para monitorear y analizar patrones de consumo, permitiendo adaptaciones rápidas en las operaciones para mitigar impactos por fluctuaciones en la demanda.</t>
  </si>
  <si>
    <t xml:space="preserve">Capacitar al personal existente y considerar la contratación de personal técnico especializado a través de convenios con instituciones educativas.
</t>
  </si>
  <si>
    <t>Fortalecer la relación con comunidades locales y asociaciones para obtener voluntarios o ayuda en la recolección de datos de campo.</t>
  </si>
  <si>
    <t>Lecturas de baja calidad (no reales) por manipulacion de sofware</t>
  </si>
  <si>
    <t>Definir y comunicar con claridad las responsabilidades respecto a informes y pagos mediante un marco de gestión que detalle las obligaciones de cada área.</t>
  </si>
  <si>
    <t xml:space="preserve">Revisar y actualizar el reglamento interno de trabajo cada año, asegurando la inclusión de aspectos disciplinarios y cambios en la legislación.
</t>
  </si>
  <si>
    <t>Buscar financiamiento externo, como subvenciones o financiación de proyectos, para declarante recursos adicionales para la recolección de información.</t>
  </si>
  <si>
    <t>Implementar un programa educativo dirigido a la comunidad sobre la importancia de las conexiones legales y la seguridad energética, además de mejorar la vigilancia y el mantenimiento de la infraestructura.</t>
  </si>
  <si>
    <t xml:space="preserve">PERIODO : </t>
  </si>
  <si>
    <t>Qué y Cómo decidimos HACERLO:</t>
  </si>
  <si>
    <t>Objetivos estratégicos</t>
  </si>
  <si>
    <t xml:space="preserve">Estrategias corporativas para lograr los objetivos
</t>
  </si>
  <si>
    <t>CRONOGRAMA DE EJECUCIÓN REAL DE LA ACTIVIDAD</t>
  </si>
  <si>
    <t>OBSERVACIONES</t>
  </si>
  <si>
    <t>Trimestre 1 (ENE-MAR)</t>
  </si>
  <si>
    <t>Trimestre 2 (MAY-JUN)</t>
  </si>
  <si>
    <t>Trimestre 3 (JUL-SEP)</t>
  </si>
  <si>
    <t>Trimestre 4 (OCT-DIC)</t>
  </si>
  <si>
    <t>Acciones y decisiones</t>
  </si>
  <si>
    <t>Responsable(s)</t>
  </si>
  <si>
    <t>P</t>
  </si>
  <si>
    <t>E</t>
  </si>
  <si>
    <t>FORTALECER LA SOSTENIBILIDAD ECONOMICA</t>
  </si>
  <si>
    <t xml:space="preserve">Desarrollo del comité financiero </t>
  </si>
  <si>
    <t>Lider financiero y contable.</t>
  </si>
  <si>
    <t>Lider administrativo y comercial.</t>
  </si>
  <si>
    <t>Desarrollo comite de cartera</t>
  </si>
  <si>
    <t xml:space="preserve">Efectuar la baja de elementos y bienes inservibles y sin rotación de EMELCE  S.A. E.S.P. </t>
  </si>
  <si>
    <t>Lider administrativo y comercial/ almacenista.</t>
  </si>
  <si>
    <t xml:space="preserve">Efectuar conciliación mensual por concepto de pagos con las entidades que han suscrito convenios de recaudo con la empresa. </t>
  </si>
  <si>
    <t>Efectuar conciliación mensual con las empresas que han suscrito contratos o convenio exequiales.</t>
  </si>
  <si>
    <t>Lider administrativo y comercial /Jefe de facturación</t>
  </si>
  <si>
    <t>Efectuar conciliación mensual para convenio de facturación conjunta.</t>
  </si>
  <si>
    <t xml:space="preserve">Realizar conciliación de la cartera comercial para compararla con la contable </t>
  </si>
  <si>
    <t>Seguimiento - cargue información SUI (información Financiera)</t>
  </si>
  <si>
    <t>Realizar cargue de contratación a la  plataforma SIA observa</t>
  </si>
  <si>
    <t>Tesorera (presupuesto)</t>
  </si>
  <si>
    <t>Matriz Programación de vacaciones.</t>
  </si>
  <si>
    <t>Realizar cargue de información CHIP del informe CUIPO</t>
  </si>
  <si>
    <t>Realizar cargue de información CHIP financiera</t>
  </si>
  <si>
    <t>Realizar presentación y declaración de impuestos DIAN</t>
  </si>
  <si>
    <t>Gestionar cuentas de cobro a las empresas que hacen uso de la infraestrucutura electrica, para telecomunicaciones.</t>
  </si>
  <si>
    <t>Lider de Generación y distribución/ Apoyo profesional admon</t>
  </si>
  <si>
    <t>Gestionar cuenta de cobro convenio No GENSA - EMELCE , mantenimiento red circuito No 5.</t>
  </si>
  <si>
    <t>Lider de Generación y distribución/ Apoyo Ambiental</t>
  </si>
  <si>
    <t xml:space="preserve">Realizar seguimiento a los inventarios y depuraciòn de los mismos por daños o cumplimiento de su vida util, asignados a los trabajadores de la empresa </t>
  </si>
  <si>
    <t>Almacenista</t>
  </si>
  <si>
    <t>Actualizar tasas de interes para los negocios de la empresa,</t>
  </si>
  <si>
    <t>Gerencia General/ Lider de administrativo/ comercial/Lider contable y Financiero</t>
  </si>
  <si>
    <t>Gestionar subsidios por menores tarifas ante el Ministerio de Minas y Energia.</t>
  </si>
  <si>
    <t>Gerencia General</t>
  </si>
  <si>
    <t xml:space="preserve">Crear establecer, documentar el procedimiento para horas extras. </t>
  </si>
  <si>
    <t>Realizar proceso de criticas en la facturación.</t>
  </si>
  <si>
    <t>Lider administrativo y comercial/ jefe de facturación.</t>
  </si>
  <si>
    <t>Actualizar matriz de alumbrado publico, notificar al municipio.</t>
  </si>
  <si>
    <t>Lider administrativo y comercial /Jefe de comercialización</t>
  </si>
  <si>
    <t>Implementar plan de capacitaciones</t>
  </si>
  <si>
    <t>Efectuar exámenes Médico ocupacionales</t>
  </si>
  <si>
    <t>Actualizar el reglamente interno de trabajo.</t>
  </si>
  <si>
    <t>Secretaria Juridica.</t>
  </si>
  <si>
    <t>Realizar Induccion y reinduccion al personal</t>
  </si>
  <si>
    <t>Actualización curso de alturas</t>
  </si>
  <si>
    <t>Lider administrativo y comercial /apoyo SST</t>
  </si>
  <si>
    <t>Ejecución plan de trabajo SG-SST</t>
  </si>
  <si>
    <t>Lider administrativo y comercialización/apoyo SST</t>
  </si>
  <si>
    <t>Formular plan de auditorias</t>
  </si>
  <si>
    <t>Control Interno</t>
  </si>
  <si>
    <t xml:space="preserve">Realizar cronograma anual de informes de ley, informar sobre el particular y publicar a traves de medios internos. </t>
  </si>
  <si>
    <t xml:space="preserve">Control interno </t>
  </si>
  <si>
    <t xml:space="preserve">Ejecutar plan de auditorias </t>
  </si>
  <si>
    <t>Realizar inventario iluminacion alumbrado publico Led con la respectiva codificacion y Georeferenciación.</t>
  </si>
  <si>
    <t>Jefe Operativo</t>
  </si>
  <si>
    <t>Formular plan de contingencia para la prestación del servicio de energia 2025.</t>
  </si>
  <si>
    <t>Lider de Generación y distribución/apoyo ingeniero elctricista.</t>
  </si>
  <si>
    <t>Implementar Res Creg 038 de 2018.</t>
  </si>
  <si>
    <t>Realizar inspecciones aleatorias 1 vez por mes a los trabajos en la red realizada por las cuadrillas de técnicos elécticistas</t>
  </si>
  <si>
    <t>Lider de Generación y distribución/Jefe operativo/ apoyo ingeniero electricista/apoyo SST</t>
  </si>
  <si>
    <t>Implementar el  plan de gestión integral de residuos solidos.</t>
  </si>
  <si>
    <t>Lider de Generación y distribución/ Apoyo profesional ambiental.</t>
  </si>
  <si>
    <t>Actualizar informe de alumbrado publico.</t>
  </si>
  <si>
    <t>Lider de Generación y distribución/ Jefe operativo</t>
  </si>
  <si>
    <t>Seguimiento gasto de combustible zonas.</t>
  </si>
  <si>
    <t>Lider de Generación y distribución/ Apoyo ingeniero electricista</t>
  </si>
  <si>
    <t>Actualización decision empresarial No 046 de 2016, Actualización circular externa No 001 de 2014.</t>
  </si>
  <si>
    <t>Lider de Generación y distribución/apoyo ingeniero electricista.</t>
  </si>
  <si>
    <t xml:space="preserve">Desarrollar reunión de seguimiento del contrato de perdidas de energia </t>
  </si>
  <si>
    <t>Lider de Generación y distribución/ apoyo perdidas de energia.</t>
  </si>
  <si>
    <t>Realizar convenio con una empresa gestora para la disposición final de residuos y aparatos eléctrB62:B63icos y electrónicos RAEE, y disposición final de residuos peligrosos RESPEL.</t>
  </si>
  <si>
    <t>Lider de Generación y distribución/apoyo profesional ambiental.</t>
  </si>
  <si>
    <r>
      <rPr>
        <sz val="16"/>
        <color indexed="8"/>
        <rFont val="Century Gothic"/>
        <family val="2"/>
      </rPr>
      <t xml:space="preserve">Presentación de Informes semestrales al IPSE, Ministerio de Minas y energia de contratos especiales de aporte ( 147 de 2022, 148 de 2022, 043 de ,a especiales sobre la gestión de AOM ambiental respecto al RESPEL Y RAEE,  </t>
    </r>
  </si>
  <si>
    <t>Lider de Generación y distribución/apoyo ingeniero electricista/ apoyo profesional ambiental</t>
  </si>
  <si>
    <t>Reacondicionamiento y puesta punto los  sistema de medicion para parques o granjas hibridos.</t>
  </si>
  <si>
    <t>Lider de Generación y distribución/ ingeniero apoyo electricista.</t>
  </si>
  <si>
    <t>Realizar inspecciones aleatorias al contratista de perdidas de energia.</t>
  </si>
  <si>
    <t>Lider de Generación y distribución/ jefe operativo.</t>
  </si>
  <si>
    <t>Formula el plan de operación de redes electricas de EMELCE S.A,.E.S.P.</t>
  </si>
  <si>
    <t>Desarrollo comité de gestión inirida</t>
  </si>
  <si>
    <t>Lider de Generación y distribución. -Lider administrativo y comercial.</t>
  </si>
  <si>
    <t xml:space="preserve">Desarrollo comité de gestión Barrancominas </t>
  </si>
  <si>
    <t>Desarrollo comité de gestión zonas rurales y dispersas.</t>
  </si>
  <si>
    <t>Realizar censo georreferenciado de usuarios conectados a transformadores con base de datos.</t>
  </si>
  <si>
    <t>Lider de generacion y distribucion/jefe de operatvo</t>
  </si>
  <si>
    <t>Realizar inspecciones por consumos anormales</t>
  </si>
  <si>
    <t>Verificación y actualización de tarifas de los servicios adicionales, como reconexiones,instalación de medidores, nuevas conexiones. (DECISIÓN EMPRESARIAL No. AC 20253000000075)</t>
  </si>
  <si>
    <t>Lider de administrativo y comercial- Lider de Generación y Distribución/apoyo ingeniero electricista.</t>
  </si>
  <si>
    <t>Desarrollo comité de gestión de calidad.</t>
  </si>
  <si>
    <t xml:space="preserve">Desarrollo comité de supervisión de contratos y convenios </t>
  </si>
  <si>
    <t xml:space="preserve">Promocionar la sensibilización sobre el uso racional de energia </t>
  </si>
  <si>
    <t>Lider de administrativo y comercial/Apoyo comunicaciones.</t>
  </si>
  <si>
    <t>Evaluar la calidad  del servicio a traves de las encuestas de satisfacción.</t>
  </si>
  <si>
    <t>Lider de administrativo y comercial/ jefe de facturación.</t>
  </si>
  <si>
    <t>Generar informe de consumos anormales y dirigir al area operativa</t>
  </si>
  <si>
    <t>Lider administrativo y comercial  /jefe de facturación.</t>
  </si>
  <si>
    <t>Difundir y promocionar el uso Atención y orientación a los ciudadanos a través de las líneas de atención al usuario y medios de comunicación disponibles en redes sociales y web.</t>
  </si>
  <si>
    <t>Normalización de acometidas para suscriptores de Barrancominas</t>
  </si>
  <si>
    <t xml:space="preserve">Lider de Generación y Distribución/ Lider sede Barrancominas </t>
  </si>
  <si>
    <t xml:space="preserve">Actualizar los invententarios del archivo central </t>
  </si>
  <si>
    <t>Lider de administrativo y comercial/ gestión documental.</t>
  </si>
  <si>
    <t>Lider de administrativo y comercial.</t>
  </si>
  <si>
    <t xml:space="preserve">Actualizar el manual de procedimientos </t>
  </si>
  <si>
    <t>Crear los procedimientos del sistema de gestión documental  de acuerdo a los lineamientos del archivo general de la nación.</t>
  </si>
  <si>
    <t>Lider de administrativo y comercial/gestión documental.</t>
  </si>
  <si>
    <t>Lider de administrativo y comercial/ Almacenista.</t>
  </si>
  <si>
    <t>Realizar inspecciones locativas y elementos de protección personal.</t>
  </si>
  <si>
    <t>Lider de administrativo y comercial/ apoyo SST</t>
  </si>
  <si>
    <t>Crear el procedimiento de calculo de la estructura tarifaria.</t>
  </si>
  <si>
    <t>Lider de administrativo y comercial/jefe de facturación.</t>
  </si>
  <si>
    <t>Promocionar la mejora de la imagen de la empresa e implementar un plan de publicidad a traves de diferentes medios posicionando las marcas de la Empresa.</t>
  </si>
  <si>
    <t>Formular el plan de responsabilidad social empresarial, de acuerdo a la naturaleza de EMELCE S.A.,E.S.P.</t>
  </si>
  <si>
    <t>Lider de administrativo y comercial/apoyo SST</t>
  </si>
  <si>
    <t xml:space="preserve">Diseñar y ejecutar campaña de los derechos y deberes de los usuarios </t>
  </si>
  <si>
    <t>Lider de administrativo y comercial/apoyo comunicaciones .</t>
  </si>
  <si>
    <t>Ejecutar el plan de comunicaciones de EMELCE S.A.,E.S.P.</t>
  </si>
  <si>
    <t>Documentar el procedimiento de recepcion y trámites de fallas del servicio reportadas por el usuario.</t>
  </si>
  <si>
    <t>Calcular mensualmente el indice de perdidas de energia de acuerdo con la normatividad que aplica para la empresa.</t>
  </si>
  <si>
    <t xml:space="preserve">Realizar mensualmente la publicación de las  Tarifas (firma) a todos los grupos de interés a traves de los canales de la empresa. </t>
  </si>
  <si>
    <t>Proporcionar información adicional al usuario, sobre el uso eficiente de la energia entre otros, en el reverso de las facturas.</t>
  </si>
  <si>
    <t>Lider de administrativo y comercial/jefe de facturación/apoyo comunicaciones.</t>
  </si>
  <si>
    <t>Capacitación a funcionarios de Barrancominas en PQR</t>
  </si>
  <si>
    <t>Diseñar programa de seguridad Vial.</t>
  </si>
  <si>
    <t>Diseñar y ejecutar una Campaña Digital de Prevención de Riesgos Eléctricos</t>
  </si>
  <si>
    <t>Lider de administrativo y comercial/apoyo SST/ equipo comunicaciones.</t>
  </si>
  <si>
    <t>Formular el plan de mantenimiento de equipos de computo, impresoras, redes y servidores</t>
  </si>
  <si>
    <t>Lider de administrativo/Almacenista</t>
  </si>
  <si>
    <t>Realizar reuniones con barrios y sectores de la comunidad.</t>
  </si>
  <si>
    <t>Lider administrativo y comercial/jefe de facturación</t>
  </si>
  <si>
    <t>Realizar actividades de promoción y prevención de estilos de vida saludable.</t>
  </si>
  <si>
    <t>Capacitar a los integrantes del COPASST para el cumplimiento efectivo de sus responsabilidades que les asigna la Ley.</t>
  </si>
  <si>
    <t xml:space="preserve"> </t>
  </si>
  <si>
    <t>Gerente General.</t>
  </si>
  <si>
    <t xml:space="preserve">Implementar el sistema de información y atención al usuario (digiturno) en la sede principal </t>
  </si>
  <si>
    <t xml:space="preserve">Incentivar a traves de reuniones el autocontrol por parte de los colaboradores </t>
  </si>
  <si>
    <t>Realizar junto con los lideres y encargados de procesos los planes de mejoramiento producto de las auditorias realizadas.</t>
  </si>
  <si>
    <t xml:space="preserve">Revisión nomina EMELCE </t>
  </si>
  <si>
    <t xml:space="preserve">FORTALECER LA PLANEACIÓN Y EJECUCIÓN DE LAS INVERSIONES </t>
  </si>
  <si>
    <t>Implementar sistemas de protecciones mercado Inirida</t>
  </si>
  <si>
    <t>Gerente General/Lider Generación y Distribución/ apoyo ingeniero electricista.</t>
  </si>
  <si>
    <t>Implementar proyecto Piloto AMI</t>
  </si>
  <si>
    <t>Estructuración proyecto para modernización de la matriz energetica en el mercado de EMELCE S.A.,E.S.P.</t>
  </si>
  <si>
    <t>Ejecutar  el plan de mantenimiento preventivo y correctivo en las localidades con generacion Diesel y con generacion fotovoltaica.</t>
  </si>
  <si>
    <t>Formular el Plan de mantenimiento preventivo y correctivo SDL nivel de tension I y II</t>
  </si>
  <si>
    <t>Ejecutar  el Plan de mantenimiento preventivo y correctivo SDL nivel de tension I y II</t>
  </si>
  <si>
    <t>Formular el Plan de mantenimiento preventivo y correctivo de vegetación en el sistema de distribución local.</t>
  </si>
  <si>
    <t>Ejecutar el Plan de mantenimiento preventivo y correctivo de vegetación en el sistema de distribución local. (plan de podas)</t>
  </si>
  <si>
    <t>Identificar  la cantidad de  salidas forzadas y tiempo de 
indisponibilidad de los circuitos I ,II, III, IV y V , del mercado de Inirida para la generación de acciones de reducción de salidas.</t>
  </si>
  <si>
    <t>Estructuración de proyecto de expansión de la cobertura en redes de distribución</t>
  </si>
  <si>
    <t>Actualizar inventario de alumbrado publico</t>
  </si>
  <si>
    <t>Lider de Generación y distribución, Jefe operativo</t>
  </si>
  <si>
    <t xml:space="preserve">Actualizacion de inventarios Electricos ( Transformadores y Postes) </t>
  </si>
  <si>
    <t>Lider de Generación y distribución, Jefe operativo, Lider Administrativo y Comercial, Almacenista, Lider Financiero y Contable</t>
  </si>
  <si>
    <t>Código
Presupuestal</t>
  </si>
  <si>
    <t xml:space="preserve">Presupuesto
Inicial    </t>
  </si>
  <si>
    <t xml:space="preserve">Presupuesto
Definitivo </t>
  </si>
  <si>
    <t>Recaudo
Periodo</t>
  </si>
  <si>
    <t>Recaudo
Acumulado</t>
  </si>
  <si>
    <t>Porc
Ejec</t>
  </si>
  <si>
    <t>Saldo por
 Recaudar</t>
  </si>
  <si>
    <t>1                        INGRESOS</t>
  </si>
  <si>
    <t>1.1                      INGRESOS CORRIENTES</t>
  </si>
  <si>
    <t>1.1.02                   INGRESOS NO TRIBUTARIOS</t>
  </si>
  <si>
    <t>1.1.02.05                VENTA DE BIENES Y SERVICIOS</t>
  </si>
  <si>
    <t>1.1.02.05.001            VENTA ESTABLECIMIEN DE MERCADO</t>
  </si>
  <si>
    <t>1.1.02.05.001.06         DISTRIBUCION DE ELECTRICIDAD</t>
  </si>
  <si>
    <t>1.1.02.05.001.06.01      Rec Venta ServEnerg Inirida</t>
  </si>
  <si>
    <t>1.1.02.05.001.06.03      Rec Venta ServEnerg San Felipe</t>
  </si>
  <si>
    <t>1.1.02.05.001.06.04      Rec Instalaci Nuevas Inirida</t>
  </si>
  <si>
    <t>1.1.02.05.001.06.05      Rec Instalaci Nuevas Bcominas</t>
  </si>
  <si>
    <t>1.1.02.05.001.06.06      Rec Instalaci Nuevas Sn Felipe</t>
  </si>
  <si>
    <t>1.1.02.05.001.06.07      RecXVenta Alumbr Publi Inírida</t>
  </si>
  <si>
    <t>1.1.02.05.001.06.08      RecXVenta Alumb Publi Bcominas</t>
  </si>
  <si>
    <t>1.1.02.05.001.06.09      RecXVenta Alumb Publi SnFelipe</t>
  </si>
  <si>
    <t>1.1.02.05.001.06.10      RecX Reconexiones Inírida</t>
  </si>
  <si>
    <t>1.1.02.05.001.06.11      RecX Reconexiones Bcominas</t>
  </si>
  <si>
    <t>1.1.02.05.001.06.12      RecX Reconexiones San Felipe</t>
  </si>
  <si>
    <t>1.1.02.05.001.06.13      RecX Otros ServEnerg Inirida</t>
  </si>
  <si>
    <t>1.1.02.05.001.06.14      RecX Otros ServEnerg Bcominas</t>
  </si>
  <si>
    <t>1.1.02.05.001.06.15      RecX Otros ServEnerg Sn Felipe</t>
  </si>
  <si>
    <t>1.1.0.2.0.6              TRANSFERENCIAS CORRIENTES</t>
  </si>
  <si>
    <t>1.1.02.06.006            TRANSF OTRAS ENT GOBIERNO GRAL</t>
  </si>
  <si>
    <t>1.1.02.06.006.01         APORTE DE NA NACION</t>
  </si>
  <si>
    <t>1.2                      RECURSO DE CAPITAL</t>
  </si>
  <si>
    <t>1.2.05                   RENDIMIENTOS FINANCIEROS</t>
  </si>
  <si>
    <t>1.2.05.02                Depositos Ctas.bancarias</t>
  </si>
  <si>
    <t>1.2.09                   RECUPERACION DE CARTERA</t>
  </si>
  <si>
    <t>1.2.09.03                PERSONAS NATURALES</t>
  </si>
  <si>
    <t>1.2.09.03.01             Recuperacion Cartera Inirida</t>
  </si>
  <si>
    <t>1.2.09.03.02             Recuperacion Cartera Bcominas</t>
  </si>
  <si>
    <t>1.2.09.03.03             Recuperacion Cartera Sn Felipe</t>
  </si>
  <si>
    <t xml:space="preserve">VENTA DE BIENES Y SERVICIOS </t>
  </si>
  <si>
    <t xml:space="preserve">1.1.02.05.001.06.01    </t>
  </si>
  <si>
    <t>Venta de servicio de energia Inirida</t>
  </si>
  <si>
    <t xml:space="preserve">1.1.02.05.001.06.02      </t>
  </si>
  <si>
    <t>Venta de servicio de energia Barrancominas</t>
  </si>
  <si>
    <t xml:space="preserve">1.1.02.05.001.06.03      </t>
  </si>
  <si>
    <t>Venta de servicio de energia San Felipe</t>
  </si>
  <si>
    <t xml:space="preserve">1.1.02.05.001.06.04      </t>
  </si>
  <si>
    <t>Instalaciones Nuevas Inirida</t>
  </si>
  <si>
    <t xml:space="preserve">1.1.02.05.001.06.05      </t>
  </si>
  <si>
    <t>Instalaciones Nuevas Barrancominas</t>
  </si>
  <si>
    <t xml:space="preserve">1.1.02.05.001.06.06     </t>
  </si>
  <si>
    <t xml:space="preserve">1.1.02.05.001.06.07     </t>
  </si>
  <si>
    <t>Alumbrado Publico Inirida</t>
  </si>
  <si>
    <t xml:space="preserve">1.1.02.05.001.06.08    </t>
  </si>
  <si>
    <t xml:space="preserve">1.1.02.05.001.06.09      </t>
  </si>
  <si>
    <t xml:space="preserve">1.1.02.05.001.06.10      </t>
  </si>
  <si>
    <t>Reconexiones Inirida</t>
  </si>
  <si>
    <t xml:space="preserve">1.1.02.05.001.06.11     </t>
  </si>
  <si>
    <t>Reconexiones Barrancominas</t>
  </si>
  <si>
    <t xml:space="preserve">1.1.02.05.001.06.12 </t>
  </si>
  <si>
    <t>Reconexiones San Felipe</t>
  </si>
  <si>
    <t xml:space="preserve">1.1.02.05.001.06.13     </t>
  </si>
  <si>
    <t>Otros Servicios Inirida</t>
  </si>
  <si>
    <t xml:space="preserve">1.1.02.05.001.06.14      </t>
  </si>
  <si>
    <t>Otros Servicios Barrancominas</t>
  </si>
  <si>
    <t xml:space="preserve">1.1.02.05.001.06.15    </t>
  </si>
  <si>
    <t>Otros Servicios San Felipe</t>
  </si>
  <si>
    <t xml:space="preserve">
Rubro</t>
  </si>
  <si>
    <t>Presup
Inicial</t>
  </si>
  <si>
    <t>Modifi
Periodo'</t>
  </si>
  <si>
    <t xml:space="preserve">Modifi
Acum  </t>
  </si>
  <si>
    <t>Presup
Defini</t>
  </si>
  <si>
    <t>Giros
Periodo</t>
  </si>
  <si>
    <t xml:space="preserve">Giros
Acum </t>
  </si>
  <si>
    <t xml:space="preserve">Saldo Comp
y CRP     </t>
  </si>
  <si>
    <t>Total
Ejecu</t>
  </si>
  <si>
    <t xml:space="preserve">
% Ejec</t>
  </si>
  <si>
    <t xml:space="preserve">
Presup x Ejecu</t>
  </si>
  <si>
    <t>Saldo de
Disponib</t>
  </si>
  <si>
    <t xml:space="preserve">Saldo por
Disponer </t>
  </si>
  <si>
    <t>2.1                       FUNCIONAMIENTO</t>
  </si>
  <si>
    <t>2.1.1                     GASTOS DE PERSONAL</t>
  </si>
  <si>
    <t>2.1.1.01                  PLANTA DE PERSONAL PERMANENTE</t>
  </si>
  <si>
    <t>2.1.1.01.01               FACTOR CONSTITUTIVOS SALARIO</t>
  </si>
  <si>
    <t>2.1.1.01.01.001           FACTORES SALARIALES COMUNES</t>
  </si>
  <si>
    <t>2.1.1.01.01.001.01        SUELDO BASICO</t>
  </si>
  <si>
    <t>2.1.1.01.01.001.0101      Sueldo Personal Inirida</t>
  </si>
  <si>
    <t>2.1.1.01.01.001.0102      Sueldo Personal Bcominas</t>
  </si>
  <si>
    <t>2.1.1.01.01.001.0103      Sueldo Personal San Felipe</t>
  </si>
  <si>
    <t>2.1.1.01.01.001.02        HORAS EXTRAS DOMIN FESTI RECAR</t>
  </si>
  <si>
    <t>2.1.1.01.01.001.0201      H Extras-Domin-Festi-Recar Ida</t>
  </si>
  <si>
    <t>2.1.1.01.01.001.0202      H Extras-Domin-Festi-Rec Bacom</t>
  </si>
  <si>
    <t>2.1.1.01.01.001.03        GASTOS DE REPRESENTACION</t>
  </si>
  <si>
    <t>2.1.1.01.01.001.0301      Gastos Representacion Inirida</t>
  </si>
  <si>
    <t>2.1.1.01.01.001.05        AUXILIO DE TRANSPORTE</t>
  </si>
  <si>
    <t>2.1.1.01.01.001.0501      Auxilio Transport Fun.Inirida</t>
  </si>
  <si>
    <t>2.1.1.01.01.001.0502      Auxilio Transport Fun.Bcominas</t>
  </si>
  <si>
    <t>2.1.1.01.01.001.0503      Auxilio Transp Fun San Felipe</t>
  </si>
  <si>
    <t>2.1.1.01.01.001.06        PRIMA DE SERVICIO</t>
  </si>
  <si>
    <t>2.1.1.01.01.001.0601      Prima de Servicios Inirida</t>
  </si>
  <si>
    <t>2.1.1.01.01.001.0602      Prima de Servicios Bcominas</t>
  </si>
  <si>
    <t>2.1.1.01.01.001.0603      Prima de Servicios San Felipe</t>
  </si>
  <si>
    <t>2.1.1.01.01.001.08        PRESTACIONES SOCIALES</t>
  </si>
  <si>
    <t>2.1.1.01.01.001.08.01     PRIMA DE NAVIDAD</t>
  </si>
  <si>
    <t>2.1.1.01.01.001.08.0101   Prima Navidad Inirida</t>
  </si>
  <si>
    <t>2.1.1.01.01.001.08.0102   Prima Navidad Bcominas</t>
  </si>
  <si>
    <t>2.1.1.01.01.001.08.0103   Prima Navidad San Felipe</t>
  </si>
  <si>
    <t>2.1.1.01.01.001.08.02     PRIMA DE VACACIONES</t>
  </si>
  <si>
    <t>2.1.1.01.01.001.08.0201   Prima Vacaciones Inirida</t>
  </si>
  <si>
    <t>2.1.1.01.01.001.08.0202   Prima Vacaciones Bcominas</t>
  </si>
  <si>
    <t>2.1.1.01.01.001.08.0203   Prima Vacaciones San Felipe</t>
  </si>
  <si>
    <t>2.1.1.01.02               CONTRIBUC INHERENTES A NOMINA</t>
  </si>
  <si>
    <t>2.1.1.01.02.001           APOR SEGU SOCIAL EN PENSIONES</t>
  </si>
  <si>
    <t>2.1.1.01.02.00101         Apor Pension Funcionar Inirida</t>
  </si>
  <si>
    <t>2.1.1.01.02.00102         Apor Pension Funciona Bcominas</t>
  </si>
  <si>
    <t>2.1.1.01.02.00103         Apor Pension Funcio San Felipe</t>
  </si>
  <si>
    <t>2.1.1.01.02.002           APORSEGURIDAD SOCIAL EN SALUD</t>
  </si>
  <si>
    <t>2.1.1.01.02.00201         Apor a Salud</t>
  </si>
  <si>
    <t>2.1.1.01.02.003           APOR DE CESANTIAS</t>
  </si>
  <si>
    <t>2.1.1.01.02.00301         Apor Cesantias e Inter Inirida</t>
  </si>
  <si>
    <t>2.1.1.01.02.00302         Apor Cesantias e InterBcominas</t>
  </si>
  <si>
    <t>2.1.1.01.02.00303         Apor Cesantias e InterSanFelip</t>
  </si>
  <si>
    <t>2.1.1.01.02.004           APOR CAJAS COMPENSAC FAMILIAR</t>
  </si>
  <si>
    <t>2.1.1.01.02.00401         Apor Caja Com Familiar Inirida</t>
  </si>
  <si>
    <t>2.1.1.01.02.00402         Apor Caja ComFamiliar Bcominas</t>
  </si>
  <si>
    <t>2.1.1.01.02.00403         Apor Caja ComFamiliarSanFelipe</t>
  </si>
  <si>
    <t>2.1.1.01.02.005           APOR GRALES SIS RIESGOS LABORA</t>
  </si>
  <si>
    <t>2.1.1.01.02.00501         Apor Riesgos Laborales Inirida</t>
  </si>
  <si>
    <t>2.1.1.01.02.00502         Apor RiesgosLaborales Bcominas</t>
  </si>
  <si>
    <t>2.1.1.01.02.00503         Apor RiesgosLaboralesSanFelipe</t>
  </si>
  <si>
    <t>2.1.1.01.03               REM NO CONSTI FACTOR SALARIAL</t>
  </si>
  <si>
    <t>2.1.1.01.03.001           PRESTACIONES SOCIALES</t>
  </si>
  <si>
    <t>2.1.1.01.03.001.01        VACACIONES</t>
  </si>
  <si>
    <t>2.1.1.01.03.001.0101      Vacaciones Inirida</t>
  </si>
  <si>
    <t>2.1.1.01.03.001.0102      Vacaciones Bcominas</t>
  </si>
  <si>
    <t>2.1.1.01.03.001.0103      Vacaciones San Felipe</t>
  </si>
  <si>
    <t>2.1.1.01.03.001.02        INDEMNIZACION POR VACACIONES</t>
  </si>
  <si>
    <t>2.1.1.01.03.001.0201      Indemnizaci Vacaciones Inirida</t>
  </si>
  <si>
    <t>2.1.1.01.03.001.0202      Indemnizac Vacaciones Bcominas</t>
  </si>
  <si>
    <t>2.1.1.01.03.001.0203      Indemniz Vacaciones san Felipe</t>
  </si>
  <si>
    <t>2.1.1.01.03.009           PRIMA TECNICA NO SALARIAL(PAS)</t>
  </si>
  <si>
    <t>2.1.1.01.03.00901         PRIMA TECNICA NO SALARIAL(PAS)</t>
  </si>
  <si>
    <t>2.1.1.01.03.0090101       Prima Anual Servicios Inirida</t>
  </si>
  <si>
    <t>2.1.1.01.03.0090102       Prima Anual Servicios Bcominas</t>
  </si>
  <si>
    <t>2.1.1.01.03.0090103       Prima Anual ServiciosSanFelipe</t>
  </si>
  <si>
    <t>2.1.1.02                  PERS SUPERNUMER PLTA TEMPORAL</t>
  </si>
  <si>
    <t>2.1.1.02.01               PERS SUPERNUMER PLTA TEMPORAL</t>
  </si>
  <si>
    <t>2.1.1.02.01.001           FACTORS CONSTITUTIVOS SALARIO</t>
  </si>
  <si>
    <t>2.1.1.02.01.001.01        FACTORES SALARIALES COMUNES</t>
  </si>
  <si>
    <t>2.1.1.02.01.001.01        SUELDO BASICO</t>
  </si>
  <si>
    <t>2.1.1.02.01.001.0101      Personal Supernumeraio</t>
  </si>
  <si>
    <t>2.1.1.02.01.001.0102      Aprendiz Sena</t>
  </si>
  <si>
    <t>2.1.5                     GASTOS DE COMERCIALIZACION Y P</t>
  </si>
  <si>
    <t>2.1.5.01                  MATERIALES Y SUMINISTROS</t>
  </si>
  <si>
    <t>2.1.5.01.01               GASTOS X ADQ ENERGIA ELECTRICA</t>
  </si>
  <si>
    <t>2.1.5.01.01.01            Compra Ener SubXMenMpioInirida</t>
  </si>
  <si>
    <t>2.1.5.01.01.02            Compra Energia RecursosPropios</t>
  </si>
  <si>
    <t>2.1.5.01.01.03             Combust Lubr Inirida</t>
  </si>
  <si>
    <t>2.1.5.01.01.04             Combust Lubr Barranco</t>
  </si>
  <si>
    <t>2.1.5.01.01.05             Combust Lubr  San Felipe</t>
  </si>
  <si>
    <t>2.1.5.01.01.06             Combust Lubr  Comunidades</t>
  </si>
  <si>
    <t>2.1.5.01.03               GASTOS PARA COMERCIALIZACION</t>
  </si>
  <si>
    <t>2.1.5.01.03.01            Compra Mercan-Servic ParaVenta</t>
  </si>
  <si>
    <t>2.1.5.01.03.02            Dineros para Mutuo</t>
  </si>
  <si>
    <t>2.1.5.01.03.03            Prestamos a Accionistas</t>
  </si>
  <si>
    <t>2.1.5.01.04               GASTOS PARA INSUMOS</t>
  </si>
  <si>
    <t>2.1.5.02                  PROD-COMERCIA BIENES SERVICIOS</t>
  </si>
  <si>
    <t>2.1.5.02.01               Serv Honorar Para Comercializa</t>
  </si>
  <si>
    <t>2.1.5.02.05               GASTOS ADQUISIS DE SERVICIOS</t>
  </si>
  <si>
    <t>2.1.5.02.05.01            Adecuacion Infraestructura</t>
  </si>
  <si>
    <t>2.1.5.02.06               GASTOS DE TRANSPORTE-BIENESTAR</t>
  </si>
  <si>
    <t>2.1.5.02.06.01            Servicios de bienestar social</t>
  </si>
  <si>
    <t>2.1.5.02.07               GASTOS FINANCIEROS</t>
  </si>
  <si>
    <t>2.1.5.02.07.01            Servicios de Seguros</t>
  </si>
  <si>
    <t>2.1.5.02.07.02            Serv Inmobili-ArrendamBcominas</t>
  </si>
  <si>
    <t>2.1.5.02.07.03            Serv Inmovil Arrend Inirida</t>
  </si>
  <si>
    <t>2.1.5.02.08               GTOS CONSULT JURIDICO CONTABLE</t>
  </si>
  <si>
    <t>2.1.5.02.08.01            Prestacion de Servicios SST</t>
  </si>
  <si>
    <t>2.1.5.02.08.02            Mercado localidads ssfi diesel</t>
  </si>
  <si>
    <t>2.1.5.02.08.03            Servicios Juridicos-Contables</t>
  </si>
  <si>
    <t>2.1.5.02.08.04            Servicios de Consultoria</t>
  </si>
  <si>
    <t>2.1.5.02.08.05            Servicios de Publicidad</t>
  </si>
  <si>
    <t>2.1.5.02.08.06            Servicios de Seguridad</t>
  </si>
  <si>
    <t>2.1.5.02.08.07            Servicios Publicos</t>
  </si>
  <si>
    <t>2.1.5.02.08.08            Servicios de Mantenimiento</t>
  </si>
  <si>
    <t>2.1.5.02.08.09            Dotacion-Seguridad Industrial</t>
  </si>
  <si>
    <t>2.1.5.02.09               GASTOS EDUCAC SALUD DEPORTIVOS</t>
  </si>
  <si>
    <t>2.1.5.02.09.01            Recolecci Desechos-RESPEL RAEE</t>
  </si>
  <si>
    <t>2.1.5.02.09.02            Patrocinios</t>
  </si>
  <si>
    <t>2.1.5.02.10               VIATICOS FUNCION EN COMISION</t>
  </si>
  <si>
    <t>2.1.5.02.10.01            Viati Funcionarios_Contatistas</t>
  </si>
  <si>
    <t>2.1.8                     INTE DE MORA MULTAS SANCIONES</t>
  </si>
  <si>
    <t>2.1.8.01                  IMPUESTOS</t>
  </si>
  <si>
    <t>2.1.8.01.01               Imporrentas y Complementarios</t>
  </si>
  <si>
    <t>2.1.8.01.52               Impuesto Predial Unificado</t>
  </si>
  <si>
    <t>2.1.8.01.54               Impuesto Industria y Comercio</t>
  </si>
  <si>
    <t>2.1.8.01.57               Sobretrasa Bomberil</t>
  </si>
  <si>
    <t>2.1.8.04                  CONTRIBUCIONES</t>
  </si>
  <si>
    <t>2.1.8.04.01               Cuota Fiscalizacion y Auditaje</t>
  </si>
  <si>
    <t>2.1.8.04.04               Contribucion ASEZONIC</t>
  </si>
  <si>
    <t>2.1.8.04.05               Contribucion SSPD</t>
  </si>
  <si>
    <t>2.1.8.04.06               Contribucion CREG</t>
  </si>
  <si>
    <t>CODIGO</t>
  </si>
  <si>
    <t>CUENTA</t>
  </si>
  <si>
    <t>ENE</t>
  </si>
  <si>
    <t>FEB</t>
  </si>
  <si>
    <t>MAR</t>
  </si>
  <si>
    <t>ABR</t>
  </si>
  <si>
    <t>MAY</t>
  </si>
  <si>
    <t>JUN</t>
  </si>
  <si>
    <t>JUL</t>
  </si>
  <si>
    <t>AGO</t>
  </si>
  <si>
    <t>SEP</t>
  </si>
  <si>
    <t>OCT</t>
  </si>
  <si>
    <t>NOV</t>
  </si>
  <si>
    <t>DIC</t>
  </si>
  <si>
    <t>TOTAL</t>
  </si>
  <si>
    <t>SALDO INICIAL BANCOS 2024</t>
  </si>
  <si>
    <t>INGRESOS TOTALES</t>
  </si>
  <si>
    <t>CONV.NALES.DPATAM.MUNICIPALES</t>
  </si>
  <si>
    <t>1.1.02.06.006.01.0302</t>
  </si>
  <si>
    <t>Conv.#213_23_Alcaldia Ida_Emelce</t>
  </si>
  <si>
    <t>1.1.02.06.006.01.0305</t>
  </si>
  <si>
    <t>Conv.#491_23_Munic.Ida_EMELCE</t>
  </si>
  <si>
    <t>1.1.02.06.006.01.0306</t>
  </si>
  <si>
    <t>Conv.#493_23_Munic.Ida_EMELCE</t>
  </si>
  <si>
    <t>1.1.02.06.006.01.0307</t>
  </si>
  <si>
    <t>ConV.#510_24_Munic.Ida_EMELCE</t>
  </si>
  <si>
    <t>1.1.02.06.006.01.0308</t>
  </si>
  <si>
    <t>Cont.#1765_24_Gob.Gnia_EMELCE</t>
  </si>
  <si>
    <t>1.1.02.06.006.01.0309</t>
  </si>
  <si>
    <t>Conv.#1781_24_Gob.Gnia_EMELCE</t>
  </si>
  <si>
    <t>Conv.#256_25_MunIni_EMELCE</t>
  </si>
  <si>
    <t>RECURSOS DE CAPITAL</t>
  </si>
  <si>
    <t>1.2.5</t>
  </si>
  <si>
    <t>Rendimientos Financieros</t>
  </si>
  <si>
    <t>Recuperacion Cartera Inirida</t>
  </si>
  <si>
    <t>COSTOS + GASTOS</t>
  </si>
  <si>
    <t>FUNCIONAMIENTO</t>
  </si>
  <si>
    <t xml:space="preserve">2.1.1                    </t>
  </si>
  <si>
    <t>GASTOS DE PERSONAL</t>
  </si>
  <si>
    <t xml:space="preserve">2.1.1.01.01.001.0101     </t>
  </si>
  <si>
    <t>Sueldo Personal Inirida</t>
  </si>
  <si>
    <t xml:space="preserve">2.1.1.01.01.001.0102     </t>
  </si>
  <si>
    <t xml:space="preserve"> Sueldo Personal Bcominas</t>
  </si>
  <si>
    <t xml:space="preserve">2.1.1.01.01.001.0103      </t>
  </si>
  <si>
    <t>Sueldo Personal San Felipe</t>
  </si>
  <si>
    <t xml:space="preserve">2.1.1.01.01.001.0201     </t>
  </si>
  <si>
    <t>H Extras-Domin-Festi-Recar Ida</t>
  </si>
  <si>
    <t xml:space="preserve">2.1.1.01.01.001.0202     </t>
  </si>
  <si>
    <t>H Extras-Domin-Festi-Rec Bacom</t>
  </si>
  <si>
    <t xml:space="preserve">2.1.1.01.01.001.0301      </t>
  </si>
  <si>
    <t>Gastos Representacion Inirida</t>
  </si>
  <si>
    <t xml:space="preserve">2.1.1.01.01.001.0501     </t>
  </si>
  <si>
    <t>Auxilio Transport Fun.Inirida</t>
  </si>
  <si>
    <t xml:space="preserve">2.1.1.01.01.001.0502      </t>
  </si>
  <si>
    <t>Auxilio Transport Fun.Bcominas</t>
  </si>
  <si>
    <t xml:space="preserve">2.1.1.01.01.001.0503     </t>
  </si>
  <si>
    <t>Auxilio Transp Fun San Felipe</t>
  </si>
  <si>
    <t xml:space="preserve">2.1.1.01.01.001.0601      </t>
  </si>
  <si>
    <t>Prima de Servicios Inirida</t>
  </si>
  <si>
    <t xml:space="preserve">2.1.1.01.01.001.0602     </t>
  </si>
  <si>
    <t>Prima de Servicios Bcominas</t>
  </si>
  <si>
    <t xml:space="preserve">2.1.1.01.01.001.0603      </t>
  </si>
  <si>
    <t>Prima de Servicios San Felipe</t>
  </si>
  <si>
    <t xml:space="preserve">2.1.1.01.01.001.08.0101  </t>
  </si>
  <si>
    <t>Prima Navidad Inirida</t>
  </si>
  <si>
    <t xml:space="preserve">2.1.1.01.01.001.08.0102  </t>
  </si>
  <si>
    <t>Prima Navidad Bcominas</t>
  </si>
  <si>
    <t xml:space="preserve">2.1.1.01.01.001.08.0103   </t>
  </si>
  <si>
    <t>Prima Navidad San Felipe</t>
  </si>
  <si>
    <t xml:space="preserve">2.1.1.01.01.001.08.0201 </t>
  </si>
  <si>
    <t>Prima Vacaciones Inirida</t>
  </si>
  <si>
    <t xml:space="preserve">2.1.1.01.01.001.08.0202   </t>
  </si>
  <si>
    <t>Prima Vacaciones Bcominas</t>
  </si>
  <si>
    <t xml:space="preserve">2.1.1.01.01.001.08.0203   </t>
  </si>
  <si>
    <t>Prima Vacaciones San Felipe</t>
  </si>
  <si>
    <t xml:space="preserve">2.1.1.01.02.00101       </t>
  </si>
  <si>
    <t>Apor Pension Funcionar Inirida</t>
  </si>
  <si>
    <t xml:space="preserve">2.1.1.01.02.00102      </t>
  </si>
  <si>
    <t>Apor Pension Funciona Bcominas</t>
  </si>
  <si>
    <t xml:space="preserve">2.1.1.01.02.00103         </t>
  </si>
  <si>
    <t>Apor Pension Funcio San Felipe</t>
  </si>
  <si>
    <t xml:space="preserve">2.1.1.01.02.00201        </t>
  </si>
  <si>
    <t>Apor a Salud</t>
  </si>
  <si>
    <t xml:space="preserve">2.1.1.01.02.00301        </t>
  </si>
  <si>
    <t>Apor Cesantias e Inter Inirida</t>
  </si>
  <si>
    <t xml:space="preserve">2.1.1.01.02.00302         </t>
  </si>
  <si>
    <t>Apor Cesantias e InterBcominas</t>
  </si>
  <si>
    <t xml:space="preserve">2.1.1.01.02.00303       </t>
  </si>
  <si>
    <t>Apor Cesantias e InterSanFelip</t>
  </si>
  <si>
    <t xml:space="preserve">2.1.1.01.02.00401       </t>
  </si>
  <si>
    <t>Apor Caja Com Familiar Inirida</t>
  </si>
  <si>
    <t xml:space="preserve">2.1.1.01.02.00402         </t>
  </si>
  <si>
    <t>Apor Caja ComFamiliar Bcominas</t>
  </si>
  <si>
    <t xml:space="preserve">2.1.1.01.02.00403         </t>
  </si>
  <si>
    <t>Apor Caja ComFamiliarSanFelipe</t>
  </si>
  <si>
    <t xml:space="preserve">2.1.1.01.02.00501        </t>
  </si>
  <si>
    <t>Apor Riesgos Laborales Inirida</t>
  </si>
  <si>
    <t xml:space="preserve">2.1.1.01.02.00502       </t>
  </si>
  <si>
    <t>Apor RiesgosLaborales Bcominas</t>
  </si>
  <si>
    <t xml:space="preserve">2.1.1.01.02.00503         </t>
  </si>
  <si>
    <t xml:space="preserve"> Apor RiesgosLaboralesSanFelipe</t>
  </si>
  <si>
    <t xml:space="preserve">2.1.1.01.03.001.0101    </t>
  </si>
  <si>
    <t>Vacaciones Inirida</t>
  </si>
  <si>
    <t xml:space="preserve">2.1.1.01.03.001.0102      </t>
  </si>
  <si>
    <t>Vacaciones Bcominas</t>
  </si>
  <si>
    <t xml:space="preserve">2.1.1.01.03.001.0103      </t>
  </si>
  <si>
    <t>Vacaciones San Felipe</t>
  </si>
  <si>
    <t xml:space="preserve">2.1.1.01.03.001.0201     </t>
  </si>
  <si>
    <t>Indemnizaci Vacaciones Inirida</t>
  </si>
  <si>
    <t xml:space="preserve">2.1.1.01.03.001.0202     </t>
  </si>
  <si>
    <t xml:space="preserve"> Indemnizac Vacaciones Bcominas</t>
  </si>
  <si>
    <t xml:space="preserve">2.1.1.01.03.001.0203    </t>
  </si>
  <si>
    <t xml:space="preserve"> Indemniz Vacaciones san Felipe</t>
  </si>
  <si>
    <t xml:space="preserve">2.1.1.01.03.0090101      </t>
  </si>
  <si>
    <t xml:space="preserve"> Prima Anual Servicios Inirida</t>
  </si>
  <si>
    <t xml:space="preserve">2.1.1.01.03.0090102      </t>
  </si>
  <si>
    <t xml:space="preserve"> Prima Anual Servicios Bcominas</t>
  </si>
  <si>
    <t xml:space="preserve">2.1.1.01.03.0090103      </t>
  </si>
  <si>
    <t>Prima Anual ServiciosSanFelipe</t>
  </si>
  <si>
    <t xml:space="preserve">2.1.1.02.01.001.0101     </t>
  </si>
  <si>
    <t xml:space="preserve"> Personal Supernumeraio</t>
  </si>
  <si>
    <t xml:space="preserve">2.1.1.02.01.001.0102      </t>
  </si>
  <si>
    <t>Aprendiz Sena</t>
  </si>
  <si>
    <t xml:space="preserve">2.1.5                    </t>
  </si>
  <si>
    <t xml:space="preserve">GASTOS DE COMERCIALIZACION </t>
  </si>
  <si>
    <t>2.1.5.01</t>
  </si>
  <si>
    <t>MATERIALES Y SUMINISTROS</t>
  </si>
  <si>
    <t xml:space="preserve">2.1.5.01.01.01   </t>
  </si>
  <si>
    <t>Compra Ener SubXMenMpioInirida</t>
  </si>
  <si>
    <t xml:space="preserve">2.1.5.01.01.02          </t>
  </si>
  <si>
    <t>Compra Energia RecursosPropios</t>
  </si>
  <si>
    <t xml:space="preserve">2.1.5.01.01.03          </t>
  </si>
  <si>
    <t>Combust Lubr Inirida</t>
  </si>
  <si>
    <t xml:space="preserve">2.1.5.01.01.04             </t>
  </si>
  <si>
    <t>Combust Lubr Barranco</t>
  </si>
  <si>
    <t xml:space="preserve">2.1.5.01.01.05         </t>
  </si>
  <si>
    <t>Combust Lubr  San Felipe</t>
  </si>
  <si>
    <t xml:space="preserve">2.1.5.01.01.06           </t>
  </si>
  <si>
    <t>Combust Lubr  Comunidades</t>
  </si>
  <si>
    <t xml:space="preserve">2.1.5.01.03.01          </t>
  </si>
  <si>
    <t>Compra Mercan-Servic ParaVenta</t>
  </si>
  <si>
    <t xml:space="preserve">2.1.5.01.03.02            </t>
  </si>
  <si>
    <t>Dineros para Mutuo</t>
  </si>
  <si>
    <t xml:space="preserve">2.1.5.01.03.03         </t>
  </si>
  <si>
    <t>Prestamos a Accionistas</t>
  </si>
  <si>
    <t xml:space="preserve">2.1.5.01.04.01            </t>
  </si>
  <si>
    <t xml:space="preserve">2.1.5.02                 </t>
  </si>
  <si>
    <t>BIENES SERVICIOS</t>
  </si>
  <si>
    <t xml:space="preserve">2.1.5.02.01          </t>
  </si>
  <si>
    <t>Serv Honorar Para Comercializa</t>
  </si>
  <si>
    <t xml:space="preserve">2.1.5.02.05.01       </t>
  </si>
  <si>
    <t>Adecuacion Infraestructura</t>
  </si>
  <si>
    <t xml:space="preserve">2.1.5.02.06.01           </t>
  </si>
  <si>
    <t xml:space="preserve"> Servicios de bienestar social</t>
  </si>
  <si>
    <t xml:space="preserve">2.1.5.02.06.02     </t>
  </si>
  <si>
    <t>Comunicaciones y Transporte</t>
  </si>
  <si>
    <t xml:space="preserve">2.1.5.02.07               </t>
  </si>
  <si>
    <t>GASTOS FINANCIEROS</t>
  </si>
  <si>
    <t xml:space="preserve">2.1.5.02.07.01            </t>
  </si>
  <si>
    <t>Servicios de Seguros</t>
  </si>
  <si>
    <t xml:space="preserve">2.1.5.02.07.02         </t>
  </si>
  <si>
    <t>Serv Inmobili-ArrendamBcominas</t>
  </si>
  <si>
    <t xml:space="preserve">2.1.5.02.07.03          </t>
  </si>
  <si>
    <t>Serv Inmovil Arrend Inirida</t>
  </si>
  <si>
    <t xml:space="preserve">2.1.5.02.08          </t>
  </si>
  <si>
    <t xml:space="preserve">2.1.5.02.08.01       </t>
  </si>
  <si>
    <t>Prestacion de Servicios SST</t>
  </si>
  <si>
    <t xml:space="preserve">2.1.5.02.08.02            </t>
  </si>
  <si>
    <t>Mercado localidads ssfi diesel</t>
  </si>
  <si>
    <t xml:space="preserve">2.1.5.02.08.03           </t>
  </si>
  <si>
    <t>Servicios Juridicos-Contables</t>
  </si>
  <si>
    <t xml:space="preserve">2.1.5.02.08.04    </t>
  </si>
  <si>
    <t>Servicios de Consultoria</t>
  </si>
  <si>
    <t xml:space="preserve">2.1.5.02.08.05            </t>
  </si>
  <si>
    <t>Servicios de Publicidad</t>
  </si>
  <si>
    <t xml:space="preserve">2.1.5.02.08.06            </t>
  </si>
  <si>
    <t>Servicios de Seguridad</t>
  </si>
  <si>
    <t xml:space="preserve">2.1.5.02.08.07           </t>
  </si>
  <si>
    <t>Servicios Publicos</t>
  </si>
  <si>
    <t xml:space="preserve">2.1.5.02.08.08           </t>
  </si>
  <si>
    <t>Servicios de Mantenimiento</t>
  </si>
  <si>
    <t xml:space="preserve">2.1.5.02.08.09            </t>
  </si>
  <si>
    <t>Dotacion-Seguridad Industrial</t>
  </si>
  <si>
    <t xml:space="preserve">2.1.5.02.09.01          </t>
  </si>
  <si>
    <t>Recolecci Desechos-RESPEL RAEE</t>
  </si>
  <si>
    <t xml:space="preserve">2.1.5.02.09.02     </t>
  </si>
  <si>
    <t>Patrocinios</t>
  </si>
  <si>
    <t xml:space="preserve">2.1.5.02.10.01         </t>
  </si>
  <si>
    <t>Viati Funcionarios_Contatistas</t>
  </si>
  <si>
    <t xml:space="preserve">2.1.8.01               </t>
  </si>
  <si>
    <t xml:space="preserve"> IMPUESTOS</t>
  </si>
  <si>
    <t xml:space="preserve">2.1.8.01.01               </t>
  </si>
  <si>
    <t>Imporrentas y Complementarios</t>
  </si>
  <si>
    <t xml:space="preserve">2.1.8.01.52  </t>
  </si>
  <si>
    <t>Impuesto Predial Unificado</t>
  </si>
  <si>
    <t xml:space="preserve">2.1.8.01.54             </t>
  </si>
  <si>
    <t>Impuesto Industria y Comercio</t>
  </si>
  <si>
    <t xml:space="preserve">2.1.8.01.57               </t>
  </si>
  <si>
    <t>Sobretrasa Bomberil</t>
  </si>
  <si>
    <t xml:space="preserve">2.1.8.04                  </t>
  </si>
  <si>
    <t>CONTRIBUCIONES</t>
  </si>
  <si>
    <t xml:space="preserve">2.1.8.04.01           </t>
  </si>
  <si>
    <t>Cuota Fiscalizacion y Auditaje</t>
  </si>
  <si>
    <t xml:space="preserve">2.1.8.04.04              </t>
  </si>
  <si>
    <t>Contribucion ASEZONIC</t>
  </si>
  <si>
    <t xml:space="preserve">2.1.8.04.05               </t>
  </si>
  <si>
    <t>Contribucion SSPD</t>
  </si>
  <si>
    <t xml:space="preserve">2.1.8.04.06            </t>
  </si>
  <si>
    <t>Contribucion CREG</t>
  </si>
  <si>
    <t>INVERSION</t>
  </si>
  <si>
    <t xml:space="preserve">2.3.2                  </t>
  </si>
  <si>
    <t>ADQUISI ACTIVOS NO FINANCIEROS</t>
  </si>
  <si>
    <t xml:space="preserve">2.3.2.01.01.003.04        </t>
  </si>
  <si>
    <t>Adquisicion de Mercado Emelce</t>
  </si>
  <si>
    <t>2.3.2.01.01.003.04.01</t>
  </si>
  <si>
    <t xml:space="preserve">2.3.2.01.01.005           </t>
  </si>
  <si>
    <t>ADQUISICION OTROS ACTIVOS</t>
  </si>
  <si>
    <t xml:space="preserve">2.3.2.01.01.005.02.05     </t>
  </si>
  <si>
    <t>Arbol Componente Ambiental</t>
  </si>
  <si>
    <t xml:space="preserve">2.3.2.01.01.005.02.030101 </t>
  </si>
  <si>
    <t>Paquetes De Software</t>
  </si>
  <si>
    <t>RESERVAS Y CUENTAS POR PAGAR</t>
  </si>
  <si>
    <t>Otras Cuentas</t>
  </si>
  <si>
    <t>Compromisos 2025</t>
  </si>
  <si>
    <t>FLUJO OPERATIVO NETO MENSUAL</t>
  </si>
  <si>
    <t>SALDO BANCOS DISPONIBLE</t>
  </si>
  <si>
    <t>SALDO INICIAL BANCOS</t>
  </si>
  <si>
    <t>11100501</t>
  </si>
  <si>
    <t>Banco Agrario Cta Cte 1460-7</t>
  </si>
  <si>
    <t>11100502</t>
  </si>
  <si>
    <t>Bancolombia Cta Cte 1140-86</t>
  </si>
  <si>
    <t>11100505</t>
  </si>
  <si>
    <t>Bco/Agra Cta/Cte Chorrob 153-3</t>
  </si>
  <si>
    <t>11100506</t>
  </si>
  <si>
    <t>Bco Agrario Cta Cte.191-3</t>
  </si>
  <si>
    <t>11100510</t>
  </si>
  <si>
    <t>Bco agrario cte 37703000134-3</t>
  </si>
  <si>
    <t>11100601</t>
  </si>
  <si>
    <t>Cta Ahorro 477033000767</t>
  </si>
  <si>
    <t>11100602</t>
  </si>
  <si>
    <t>Cta Ahorro Bancolombia 148-14</t>
  </si>
  <si>
    <t>11100603</t>
  </si>
  <si>
    <t>Cta Ahor Bancol - Barranco 312</t>
  </si>
  <si>
    <t>11100604</t>
  </si>
  <si>
    <t>Cta Ahorro Agra 47703300777-1</t>
  </si>
  <si>
    <t>11100605</t>
  </si>
  <si>
    <t>Ctaahorr Cootregua 210501458-0</t>
  </si>
  <si>
    <t>11100606</t>
  </si>
  <si>
    <t>Cta Ahorro Bancol 763000006-82</t>
  </si>
  <si>
    <t>11100607</t>
  </si>
  <si>
    <t>Cta Ahorro Bbva 00273</t>
  </si>
  <si>
    <t>11109001</t>
  </si>
  <si>
    <t>Aportes Cooperativa Cootregua</t>
  </si>
  <si>
    <t>11109002</t>
  </si>
  <si>
    <t>Cdt 1401317</t>
  </si>
  <si>
    <t>11109003</t>
  </si>
  <si>
    <t>Fondo Inversion 2020 Bbva</t>
  </si>
  <si>
    <t>11321036</t>
  </si>
  <si>
    <t>Cta De Inver Fiduexcedent 0231</t>
  </si>
  <si>
    <t>SALDO FINAL BANCOS</t>
  </si>
  <si>
    <t>1.1.02.05.001.06</t>
  </si>
  <si>
    <t>1.1.02.05.001.07</t>
  </si>
  <si>
    <t>1.1.02.05.001.0701</t>
  </si>
  <si>
    <t>1.1.02.05.001.0702</t>
  </si>
  <si>
    <t>1.1.02.05.001.0703</t>
  </si>
  <si>
    <t>1.1.02.05.001.0704</t>
  </si>
  <si>
    <t>1.1.02.05.001.0705</t>
  </si>
  <si>
    <t>1.1.02.05.001.0706</t>
  </si>
  <si>
    <t>Depositos Ctas.bancarias</t>
  </si>
  <si>
    <t>PERSONAS NATURALES</t>
  </si>
  <si>
    <t>Recuperacion Cartera Bcominas</t>
  </si>
  <si>
    <t>Recuperacion Cartera Sn Felipe</t>
  </si>
  <si>
    <t>PROYECTO</t>
  </si>
  <si>
    <t xml:space="preserve">ACCIÓN - ACTIVIDADES </t>
  </si>
  <si>
    <t>AREA RESPONSABLE</t>
  </si>
  <si>
    <t>META</t>
  </si>
  <si>
    <t>PRESUPUESTO (Proyección)</t>
  </si>
  <si>
    <t xml:space="preserve">Modernización y ampliación cobertura  red de baja tensión mercado Inirida </t>
  </si>
  <si>
    <t>Area de Generación y Distribución</t>
  </si>
  <si>
    <t>Almacen</t>
  </si>
  <si>
    <t>Realizar un diagnostico ambiental de las localidades donde se opera con fuentes diesel del mercado de EMELCE S.A.,E.S.P.</t>
  </si>
  <si>
    <t xml:space="preserve">Lider de Generación y distribución
Apoyo ambiental </t>
  </si>
  <si>
    <t xml:space="preserve">Implementacion y seguimiento del Plan de Gestion Integral de Residuos Solidos </t>
  </si>
  <si>
    <t>Se realizo una reuniòn pero no existe acta firmada.</t>
  </si>
  <si>
    <t>Pendiente evidencias</t>
  </si>
  <si>
    <t>Urgente actas, seguimiento</t>
  </si>
  <si>
    <t>No existe una evidencia,crear un documento</t>
  </si>
  <si>
    <t>Lider administrativo</t>
  </si>
  <si>
    <t>Debe existir una delegaciòn de parte de la Gerencia al lider administrativo.</t>
  </si>
  <si>
    <t xml:space="preserve">Verificar con GENSA, los respectivos pagos desde el 2021. </t>
  </si>
  <si>
    <t>Ajustar para que sea trimestral</t>
  </si>
  <si>
    <t>Ajustar en el acta los interes de las tarifas para los residenciales y no residenciales.</t>
  </si>
  <si>
    <t>Existen oficios a min energia y sspp sobre informaciòn para gestiòn de subsidios.</t>
  </si>
  <si>
    <t>No se ha realizado</t>
  </si>
  <si>
    <t>Existen informes mensualizados de las criticas, inician desde el mes de noviembre.</t>
  </si>
  <si>
    <t>Se deben incluir intereses de mora en la factura.</t>
  </si>
  <si>
    <t xml:space="preserve">Falta enviar a la Gerencia. </t>
  </si>
  <si>
    <t>Para la vigencia 2025 no hubo necesidad de contratar el curso de alturas, puesto se encuentra vigente.</t>
  </si>
  <si>
    <t>No se realizo.</t>
  </si>
  <si>
    <t>Se debe seguir la codificacòn en inventarios para terminar los mas pronto, urgente.</t>
  </si>
  <si>
    <t>Al finalizar la vigencia 2025, no se habia formulado.</t>
  </si>
  <si>
    <t>Al finalizar la vigencia 2025 no se habia implementado</t>
  </si>
  <si>
    <t>Existe un plan de gestiòn integral de residuos solidos, y un informe de la implementaciòn.</t>
  </si>
  <si>
    <t>Existe informe mensualiazido de reporte al area de comercializaciòn</t>
  </si>
  <si>
    <t>No se ejecuto</t>
  </si>
  <si>
    <t>Se esta cumpliendo</t>
  </si>
  <si>
    <t>Existe un informe de visita del area de redes.</t>
  </si>
  <si>
    <t>Existe base de datos.</t>
  </si>
  <si>
    <t>Existe actas y base de datos de lo realizado</t>
  </si>
  <si>
    <t>Se ejecuto en octubre, existe un informe.</t>
  </si>
  <si>
    <t>Se viene realizando, falta un infome mensualizado.</t>
  </si>
  <si>
    <t>Esta actualizado y cargado a la plataforma SIG</t>
  </si>
  <si>
    <t>No se ha presentado.</t>
  </si>
  <si>
    <t>Existen informes</t>
  </si>
  <si>
    <t>No se ha creado.</t>
  </si>
  <si>
    <t>No se ha realizado.</t>
  </si>
  <si>
    <t>Se tiene levidencia de la capacitaciòn.</t>
  </si>
  <si>
    <t>Se cargo de manera extemporanea</t>
  </si>
  <si>
    <t>Se creo pero no esta integrado, integrarlo urgente.</t>
  </si>
  <si>
    <t>No esta.</t>
  </si>
  <si>
    <t>Falta integrar al SIG</t>
  </si>
  <si>
    <t>Se realziaron en el Jardin y el Poblado</t>
  </si>
  <si>
    <t>Solicitar informes</t>
  </si>
  <si>
    <t>Se solicito pero la gerencia no aprobo.</t>
  </si>
  <si>
    <t>Se presento a la Alcaldia el proyecto de chaquita</t>
  </si>
  <si>
    <t>Ojo ampliacion de redes, red abierta ojo</t>
  </si>
  <si>
    <t>No se ha cargado al SIG</t>
  </si>
  <si>
    <t xml:space="preserve">Falta informe consolidar </t>
  </si>
  <si>
    <t>Falta socializarlo</t>
  </si>
  <si>
    <t>Crear , oficializar el cronograma, se cumplio pero se cargo de manera extemporanea</t>
  </si>
  <si>
    <t>Verificar valor de comision por recaudo de supergiros.</t>
  </si>
  <si>
    <t>Pendiente para conocer el porcentaje de ejecuciòn del cronograma del plan de capacitaciòn, investigar si esxiste un plan o documento de capacitaciòn.</t>
  </si>
  <si>
    <t>Se ejecuto hasta el mes de diciembre.</t>
  </si>
  <si>
    <t>Existen informes sobre las inspecciones.</t>
  </si>
  <si>
    <t>Se tiene informes con planillas de gasto de combustible.</t>
  </si>
  <si>
    <t>El plan existia, se esta ajustando  al SIG</t>
  </si>
  <si>
    <t>Los parques cuentan con mediciòn, en su totalidad, se realizo inversiones.</t>
  </si>
  <si>
    <t>No se cumplio.</t>
  </si>
  <si>
    <t>Se han realizado 78 normalizaciones.</t>
  </si>
  <si>
    <t>Ojo existe un manual de procedimientos aparte del los procedimeintos del SIG.</t>
  </si>
  <si>
    <t>Revisar el plan de gestiòn documental, preguntar por el , no se tiene evidencias.</t>
  </si>
  <si>
    <t>Existen dos procedimientos en el SIG</t>
  </si>
  <si>
    <t>Se ejecuto esta actividad, sin embargo se debe cargar a la web.</t>
  </si>
  <si>
    <t>Se estructuro un proyecto.</t>
  </si>
  <si>
    <t>No se implemento</t>
  </si>
  <si>
    <t>Trimestre 2 (ABR- JUN)</t>
  </si>
  <si>
    <t xml:space="preserve">Actualizar y dar cumplimiento a la decisión empresarial No 192 de 2022 "por cual se implementa directrices para el otorgamiento de créditos o financiacion, acuerdos de pago y para la recuperació de la cartera". </t>
  </si>
  <si>
    <t>Analisis administrativo y financiero de los negocios  empresariales.  (Crediemelce, etc)</t>
  </si>
  <si>
    <t>Realizar presentación y declaración de impuestos DIAN - RENTA</t>
  </si>
  <si>
    <t>Realizar presentación y declaración de impuestos DIAN - EXOGENA</t>
  </si>
  <si>
    <t>Realizar presentación y declaración de impuestos DIAN - IVA</t>
  </si>
  <si>
    <t xml:space="preserve">Formular programa anual de capacitaciones del SIG 2026  </t>
  </si>
  <si>
    <t>Integrar  el plan de Gestion Integral de Residuos Solidos PGIRS al SIGC</t>
  </si>
  <si>
    <t>Toma de lecturas en localidades con generación Diesel</t>
  </si>
  <si>
    <t>Lider Administrativo y Comercial</t>
  </si>
  <si>
    <t xml:space="preserve">Lider Administrativo / Asesor </t>
  </si>
  <si>
    <t>Revisar y actualizar el manual de funciones.</t>
  </si>
  <si>
    <t>Integrar al SIGC el sistema de gestión documental.</t>
  </si>
  <si>
    <t>Crear e integrar al SIGC el manual de almacen.</t>
  </si>
  <si>
    <t xml:space="preserve">Generar el mapa de la georeferenciación de los suscriptores del mercado de Inirida . </t>
  </si>
  <si>
    <t xml:space="preserve">Lider de administrativo y comercialv / Lider Generación y Distribución </t>
  </si>
  <si>
    <t>Generar mapa de Georeferenciacion de los suscriptores en Barrancominas</t>
  </si>
  <si>
    <t xml:space="preserve">Lider administrativo y comercial. / Lider Generación y Distribución </t>
  </si>
  <si>
    <t>Capacitación a funcionarios de Inirida en PQR</t>
  </si>
  <si>
    <t>Seguimiento al cargue información de acuerdo a la matriz de reportes de EMELCE ( Entes de Control, vigilancia y entidades de Orden Nacional)</t>
  </si>
  <si>
    <t>Cargue, envío y/o rendición  de la información de matriz de la reporte de EMELCE  ( Entes de Control, vigilancia y entidades de Orden Nacional)</t>
  </si>
  <si>
    <t>Lider de administrativo y comercial.
Lider Generación y Distribución 
Lider Financiera y Contable 
Secretaria Jurídica</t>
  </si>
  <si>
    <t xml:space="preserve">Integrar al sistema de gestión integrado, un manual de procedimiento, protocolo, guia o instructivo detallado del CU (Costo Unitario de Prestación del Servicio) de los mercados de la empresa de Energía. </t>
  </si>
  <si>
    <t xml:space="preserve">Gestionar el aplicativo con Bancolombia para pago del servicio de energia electrica, por débito automático. </t>
  </si>
  <si>
    <t>Estructuración  del Proyecto de Modernizacion redes de media y baja tensión.</t>
  </si>
  <si>
    <t>Formular el plan de mantenimiento preventivo y correctivo en las localidades con generacion Diesel y con generacion fotovoltaica. (Incluir Cronograma)</t>
  </si>
  <si>
    <t>1.1.02.05.001.06.02      Rec X Sev Bcominas Pque Hibrid</t>
  </si>
  <si>
    <t>1.1.02.05.001.07         PARQUES</t>
  </si>
  <si>
    <t>1.1.02.05.001.0701       Rec X Servicios A Chatare</t>
  </si>
  <si>
    <t>1.1.02.05.001.0702       Rec X Serv A Carpintero</t>
  </si>
  <si>
    <t>1.1.02.05.001.0703       Rec X Serv Lag.Colord_Pblo Nvo</t>
  </si>
  <si>
    <t>1.1.02.05.001.0704       Rec X Serv Caranacoa</t>
  </si>
  <si>
    <t>1.1.02.05.001.0705       Rec X Serv Remanso</t>
  </si>
  <si>
    <t>1.1.02.05.001.0706       Rec X Serv Venado</t>
  </si>
  <si>
    <t>1.1.02.05.001.0706       Rec X Serv Chorrobocon</t>
  </si>
  <si>
    <t>1.1.02.05.001.08          DISEL</t>
  </si>
  <si>
    <t>1.1.02.05.001.0801       Rec X Serv Prest A Cacahual</t>
  </si>
  <si>
    <t>1.1.02.05.001.0802       Rec X Serv Prest A Chaquita</t>
  </si>
  <si>
    <t>1.1.02.05.001.0803       Rec X Serv Prest A Merey</t>
  </si>
  <si>
    <t>1.1.02.05.001.0804       Rec X Serv Prest A Pato Corona</t>
  </si>
  <si>
    <t>1.1.02.05.001.0805       Rec X Serv Prest A Playa Blanca</t>
  </si>
  <si>
    <t>1.1.02.05.001.0806       Rec X Serv Prest A Guayabal</t>
  </si>
  <si>
    <t>1.1.02.05.001.0807       Rec X Serv Prest A Caño Raya</t>
  </si>
  <si>
    <t>1.1.02.05.001.0808       Rec X Serv Prest A Pto Colombia</t>
  </si>
  <si>
    <t>1.1.02.05.001.0809       Rec X Serv Prest A Sardina Bagre</t>
  </si>
  <si>
    <t>1.1.02.05.001.0810       Rec X Serv Prest A Laguna Cumaral</t>
  </si>
  <si>
    <t>1.1.02.05.001.0811       Rec X Serv Prest A San Juan</t>
  </si>
  <si>
    <t>1.1.02.05.001.0812       Rec X Serv Prest A Zancudo</t>
  </si>
  <si>
    <t>1.1.02.05.001.09.01      Rec X Serv Prest SISTFV_IDA</t>
  </si>
  <si>
    <t>1.1.02.05.001.09           SISFV</t>
  </si>
  <si>
    <t>1.1.02.05.001.10           SER FINANC Y CONEXOS</t>
  </si>
  <si>
    <t>1.1.02.05.001.10.01      Rec X Comision Crediemelce</t>
  </si>
  <si>
    <t>1.1.02.05.001.10.02      Rec X Alquiler Postes</t>
  </si>
  <si>
    <t>1.1.02.05.001.10.03      S Prest Prog Crediemelce Iniri</t>
  </si>
  <si>
    <t>1.1.02.05.001.10.04      S Prest Prog Crediemelce Bmina</t>
  </si>
  <si>
    <t>1.1.02.05.001.10.05      Recaudo Comision Convenio Apc</t>
  </si>
  <si>
    <t>1.1.02.05.001.10.06      Rec X Prestamos A Accionistas</t>
  </si>
  <si>
    <t>1.1.02.06.006.01.01   Aport Sub Menor Tarifa Inirida</t>
  </si>
  <si>
    <t>1.1.02.06.006.01.02   Aport Sub Menor Tarifa Bcomina</t>
  </si>
  <si>
    <t>1.1.02.06.006.01.03   Apor Sub Menor Tarifa San Feli</t>
  </si>
  <si>
    <t>Adicion
Periodo</t>
  </si>
  <si>
    <t>Deducci
Periodo</t>
  </si>
  <si>
    <t>Adic/Redu
Acumulada</t>
  </si>
  <si>
    <t>1.1.02.06.006.01.04      APORTE SUBSIDIOS PARQUES SOLAR</t>
  </si>
  <si>
    <t>1.1.02.06.006.01.04.01    Sub X Servicios A Chatare</t>
  </si>
  <si>
    <t>1.1.02.06.006.01.04.02    Sub X Servicios A Carpintero</t>
  </si>
  <si>
    <t>1.1.02.06.006.01.04.03    Sub X Serv A Laguna Colorada P</t>
  </si>
  <si>
    <t>1.1.02.06.006.01.04.04    Sub X Servicios A Caranacoa</t>
  </si>
  <si>
    <t>1.1.02.06.006.01.04.05    Sub X Servicio A Remanso</t>
  </si>
  <si>
    <t>1.1.02.06.006.01.04.06    Sub X Servicio A Venado</t>
  </si>
  <si>
    <t>1.1.02.06.006.01.04.07    Sub X Servicio A Chorrobocon P</t>
  </si>
  <si>
    <t>1.1.02.06.006.01.05        APORTE SUBSIDIO DIESEL</t>
  </si>
  <si>
    <t>1.1.02.06.006.01.05.01   Sub X Servicios A Cacahual</t>
  </si>
  <si>
    <t>1.1.02.06.006.01.05.02   Sub X Servicios A Chaquita</t>
  </si>
  <si>
    <t>1.1.02.06.006.01.05.03   Sub X Servicios A Merey</t>
  </si>
  <si>
    <t>1.1.02.06.006.01.05.04   Sub X Servicios A Pato Corona</t>
  </si>
  <si>
    <t>1.1.02.06.006.01.05.05   Sub X Servicios A Playa Blanca</t>
  </si>
  <si>
    <t>1.1.02.06.006.01.05.06   Sub X Servicios A Guayabal</t>
  </si>
  <si>
    <t>1.1.02.06.006.01.05.07   Sub X Servicios A Caño Raya</t>
  </si>
  <si>
    <t>1.1.02.06.006.01.05.08   Sub X Servicios A Pto Colombia</t>
  </si>
  <si>
    <t>1.1.02.06.006.01.05.09   Sub X Servicios A Sardina Bagre</t>
  </si>
  <si>
    <t>1.1.02.06.006.01.05.10   Sub X Servicios A Laguna Cumaral</t>
  </si>
  <si>
    <t>1.1.02.06.006.01.05.11   Sub X Servicios A San Juan</t>
  </si>
  <si>
    <t>1.1.02.06.006.01.05.12   Sub X Servicios A Zancudo</t>
  </si>
  <si>
    <t>1.1.02.06.006.01.06        APORTE SUBSIDIO SISFV</t>
  </si>
  <si>
    <t>1.1.02.06.006.01.06.01   Sub X Servicio Sisfv</t>
  </si>
  <si>
    <t>2.1.5.01.04.02</t>
  </si>
  <si>
    <t>2.1.5.01.04.03</t>
  </si>
  <si>
    <t>2.1.5.01.04.04</t>
  </si>
  <si>
    <t>2.1.5.01.04.01                 Compra Eleme Insumos Inirida</t>
  </si>
  <si>
    <t>2.1.5.01.04.02              Compra Elem Insumos Bcominas</t>
  </si>
  <si>
    <t>2.1.5.01.04.03          Compra Elem Insumos San Felipe</t>
  </si>
  <si>
    <t>2.1.5.01.04.04          Compra Elem Insumos Localidade</t>
  </si>
  <si>
    <t>2.1.5.02.05.02              Adquis Lote Infraest Bcominas</t>
  </si>
  <si>
    <t>2.1.5.02.06.02           Comunicaciones Y Transp Inirid</t>
  </si>
  <si>
    <t>2.1.5.02.06.03           Comunic Y Transporte Bcominas</t>
  </si>
  <si>
    <t>2.1.5.02.06.04           Comunicac Y Transporte Localid</t>
  </si>
  <si>
    <t>2.1.5.02.06.05           Servicio De Mensajeriz</t>
  </si>
  <si>
    <t>2.1.5.02.06.06           Serv Bienestar Social Accionis</t>
  </si>
  <si>
    <t>2.1.5.02.09.03            Donaciones Responsabili Socia</t>
  </si>
  <si>
    <t>2.3                                     INVERSION</t>
  </si>
  <si>
    <t>2.3.2                              ADQUISI ACTIVOS NO FINANCIEROS</t>
  </si>
  <si>
    <t>2.3.2.01                   ADQUISI ACTIVOS NO FINANCIEROS</t>
  </si>
  <si>
    <t>2.3.2.01.01          ADQUISICION MAQUINARIA TRANSPO</t>
  </si>
  <si>
    <t>2.3.2.01.01.003             ADQUISICION MAQUINARIA TRANSPO</t>
  </si>
  <si>
    <t>2.3.2.01.01.003.04            ADQUIS MOTORES GENER TRANSFORM</t>
  </si>
  <si>
    <t>2.3.2.01.01.003.04.01             Adq Mercado Emelce</t>
  </si>
  <si>
    <t>2.3.2.01.01.003.04.05                           Adq Materials Para Alum Public</t>
  </si>
  <si>
    <t>2.3.2.01.01.005      ADQUISICION OTROS ACTIVOS</t>
  </si>
  <si>
    <t>2.3.2.01.01.005.02      ARBOLES-COMPONENTE AMBIENTAL</t>
  </si>
  <si>
    <t>2.3.2.01.01.005.02.05    Arbol Componente Ambiental</t>
  </si>
  <si>
    <t>2.3.2.01.01.005.03       PRO INFORMATICA-BASES DE DATOS</t>
  </si>
  <si>
    <t>2.3.2.01.01.005.02.030101          Paquetes De Software</t>
  </si>
  <si>
    <t>2 GASTOS</t>
  </si>
  <si>
    <t xml:space="preserve">DISTRIBUCION DE ELECTRICIDAD </t>
  </si>
  <si>
    <t>Rec Venta ServEnerg Inirida</t>
  </si>
  <si>
    <t>Rec X Sev Bcominas Pque Hibrid</t>
  </si>
  <si>
    <t>Rec Venta ServEnerg San Felipe</t>
  </si>
  <si>
    <t>Rec Instalaci Nuevas Inirida</t>
  </si>
  <si>
    <t>Rec Instalaci Nuevas Bcominas</t>
  </si>
  <si>
    <t>Rec Instalaci Nuevas Sn Felipe</t>
  </si>
  <si>
    <t>RecXVenta Alumbr Publi Inírida</t>
  </si>
  <si>
    <t>RecXVenta Alumb Publi Bcominas</t>
  </si>
  <si>
    <t>RecXVenta Alumb Publi SnFelipe</t>
  </si>
  <si>
    <t>RecX Reconexiones Inírida</t>
  </si>
  <si>
    <t>RecX Reconexiones Bcominas</t>
  </si>
  <si>
    <t>RecX Reconexiones San Felipe</t>
  </si>
  <si>
    <t>RecX Otros ServEnerg Inirida</t>
  </si>
  <si>
    <t>RecX Otros ServEnerg Bcominas</t>
  </si>
  <si>
    <t>RecX Otros ServEnerg Sn Felipe</t>
  </si>
  <si>
    <t>PARQUES</t>
  </si>
  <si>
    <t>Rec X Servicios A Chatare</t>
  </si>
  <si>
    <t>Rec X Serv A Carpintero</t>
  </si>
  <si>
    <t>Rec X Serv Lag.Colord_Pblo Nvo</t>
  </si>
  <si>
    <t>Rec X Serv Caranacoa</t>
  </si>
  <si>
    <t>Rec X Serv Remanso</t>
  </si>
  <si>
    <t>Rec X Serv Venado</t>
  </si>
  <si>
    <t>1.1.02.05.001.07.07</t>
  </si>
  <si>
    <t>Rec X Serv Chorrobocon</t>
  </si>
  <si>
    <t>1.1.02.05.001.08</t>
  </si>
  <si>
    <t>DISEL</t>
  </si>
  <si>
    <t>1.1.02.05.001.08.01</t>
  </si>
  <si>
    <t>Rec X Serv Prest A Cacahual</t>
  </si>
  <si>
    <t>1.1.02.05.001.08.02</t>
  </si>
  <si>
    <t>Rec X Serv A Chaquita</t>
  </si>
  <si>
    <t>1.1.02.05.001.08.03</t>
  </si>
  <si>
    <t>Rec X Serv A  Merey</t>
  </si>
  <si>
    <t>1.1.02.05.001.08.04</t>
  </si>
  <si>
    <t>Rec X Serv A Pato Corona</t>
  </si>
  <si>
    <t>1.1.02.05.001.08.05</t>
  </si>
  <si>
    <t>Rec X Serv A  Playa Blanca</t>
  </si>
  <si>
    <t>1.1.02.05.001.08.06</t>
  </si>
  <si>
    <t>Rec X Servicios A  Guayabal</t>
  </si>
  <si>
    <t>1.1.02.05.001.08.07</t>
  </si>
  <si>
    <t>Rec X Serv A Caño Raya</t>
  </si>
  <si>
    <t>1.1.02.05.001.08.08</t>
  </si>
  <si>
    <t>Rec X Serv A Pto Colombia</t>
  </si>
  <si>
    <t>1.1.02.05.001.08.09</t>
  </si>
  <si>
    <t>Rec X Serv A  Sardina Bagre</t>
  </si>
  <si>
    <t>1.1.02.05.001.08.10</t>
  </si>
  <si>
    <t>Rec X Serv A Laguna Cumaral</t>
  </si>
  <si>
    <t>1.1.02.05.001.08.11</t>
  </si>
  <si>
    <t>Rec X Serv A San Juan</t>
  </si>
  <si>
    <t>1.1.02.05.001.08.12</t>
  </si>
  <si>
    <t>Rec X Serv A Zancudo</t>
  </si>
  <si>
    <t>1.1.02.05.001.09</t>
  </si>
  <si>
    <t>SISFV</t>
  </si>
  <si>
    <t>1.1.02.05.001.09.01</t>
  </si>
  <si>
    <t>Rec X Serv Prest SISTFV_IDA</t>
  </si>
  <si>
    <t>1.1.02.05.001.10.01</t>
  </si>
  <si>
    <t>Rec X Comision Crediemelce</t>
  </si>
  <si>
    <t>1.1.02.05.001.10.02</t>
  </si>
  <si>
    <t>Rec X Alquiler Postes</t>
  </si>
  <si>
    <t>1.1.02.05.001.10.03</t>
  </si>
  <si>
    <t>S Prest Prog Crediemelce Iniri</t>
  </si>
  <si>
    <t>1.1.02.05.001.10.04</t>
  </si>
  <si>
    <t>S Prest Prog Crediemelce Bmina</t>
  </si>
  <si>
    <t>1.1.02.05.001.10.05</t>
  </si>
  <si>
    <t>Recaudo Comision Convenio Apc</t>
  </si>
  <si>
    <t>1.1.02.05.001.10.06</t>
  </si>
  <si>
    <t>Rec X Prestamos A Accionistas</t>
  </si>
  <si>
    <t>SER FINANC Y CONEXOS</t>
  </si>
  <si>
    <t>APORTES DE NA NACION</t>
  </si>
  <si>
    <t>1.1.02.06.006.01.01</t>
  </si>
  <si>
    <t>Aport Sub Menor Tarifa Inirida</t>
  </si>
  <si>
    <t>1.1.02.06.006.01.02</t>
  </si>
  <si>
    <t>Aport Sub Menor Tarifa Bcomina</t>
  </si>
  <si>
    <t>1.1.02.06.006.01.03</t>
  </si>
  <si>
    <t>Apor Sub Menor Tarifa San Feli</t>
  </si>
  <si>
    <t>1.1.02.06.006.01.04</t>
  </si>
  <si>
    <t>APORTE SUBSIDIOS PARQUES SOLAR</t>
  </si>
  <si>
    <t>1.1.02.06.006.01.04.01</t>
  </si>
  <si>
    <t>Sub X Servicios A Chatare</t>
  </si>
  <si>
    <t>1.1.02.06.006.01.04.02</t>
  </si>
  <si>
    <t>Sub X Servicios A Carpintero</t>
  </si>
  <si>
    <t>1.1.02.06.006.01.04.03</t>
  </si>
  <si>
    <t>Sub X Serv A Laguna Colorada P</t>
  </si>
  <si>
    <t>1.1.02.06.006.01.04.04</t>
  </si>
  <si>
    <t>Sub X Servicios A Caranacoa</t>
  </si>
  <si>
    <t>1.1.02.06.006.01.04.05</t>
  </si>
  <si>
    <t>Sub X Servicio A Remanso</t>
  </si>
  <si>
    <t>1.1.02.06.006.01.04.06</t>
  </si>
  <si>
    <t>Sub X Servicio A Venado</t>
  </si>
  <si>
    <t>1.1.02.06.006.01.04.07</t>
  </si>
  <si>
    <t>Sub X Servicio A Chorrobocon P</t>
  </si>
  <si>
    <t>1.1.02.06.006.01.05</t>
  </si>
  <si>
    <t>APORTE SUBSIDIO DIESEL</t>
  </si>
  <si>
    <t>1.1.02.06.006.01.05.01</t>
  </si>
  <si>
    <t>Sub X Servicios A Cacahual</t>
  </si>
  <si>
    <t>1.1.02.06.006.01.05.02</t>
  </si>
  <si>
    <t>Sub X Servicio A Chaquita</t>
  </si>
  <si>
    <t>1.1.02.06.006.01.05.03</t>
  </si>
  <si>
    <t>Sub X Servicio A Merey</t>
  </si>
  <si>
    <t>1.1.02.06.006.01.05.04</t>
  </si>
  <si>
    <t>Sub X Servicio A Pato Corona</t>
  </si>
  <si>
    <t>1.1.02.06.006.01.05.05</t>
  </si>
  <si>
    <t>Sub X Servicio A Playa Blanca</t>
  </si>
  <si>
    <t>1.1.02.06.006.01.05.06</t>
  </si>
  <si>
    <t>Sub X Servicio A Guayabal</t>
  </si>
  <si>
    <t>1.1.02.06.006.01.05.07</t>
  </si>
  <si>
    <t>Sub X Servicio A Caño Raya</t>
  </si>
  <si>
    <t>1.1.02.06.006.01.05.08</t>
  </si>
  <si>
    <t>Sub X Servicio A Pto Colombia</t>
  </si>
  <si>
    <t>1.1.02.06.006.01.05.09</t>
  </si>
  <si>
    <t>Sub X Servicio A Sardina Bagre</t>
  </si>
  <si>
    <t>1.1.02.06.006.01.05.10</t>
  </si>
  <si>
    <t>Sub X Servicio A Laguna Cumara</t>
  </si>
  <si>
    <t>1.1.02.06.006.01.05.11</t>
  </si>
  <si>
    <t>Sub X Servicio A San Juan</t>
  </si>
  <si>
    <t>1.1.02.06.006.01.05.12</t>
  </si>
  <si>
    <t>Sub X Servicio A Zancudo</t>
  </si>
  <si>
    <t>1.1.02.06.006.01.06</t>
  </si>
  <si>
    <t>APORTE SUBSIDIO SISFV</t>
  </si>
  <si>
    <t>1.1.02.06.006.01.06.01</t>
  </si>
  <si>
    <t>Sub X Servicio Sisfv</t>
  </si>
  <si>
    <t>1.2.05.02</t>
  </si>
  <si>
    <t>1.2.09.03</t>
  </si>
  <si>
    <t>1.2.09.03.01</t>
  </si>
  <si>
    <t>1.2.09.03.02</t>
  </si>
  <si>
    <t>1.2.09.03.03</t>
  </si>
  <si>
    <t>Compra Elem Insumos San Felipe</t>
  </si>
  <si>
    <t>Compra Elem Insumos Localidade</t>
  </si>
  <si>
    <t>Compra Elem Insumos Bcominas</t>
  </si>
  <si>
    <t>2.1.5.02.05.02</t>
  </si>
  <si>
    <t>Adquis Lote Infraest Bcominas</t>
  </si>
  <si>
    <t>Comunicaciones y Transporte B/MINAS</t>
  </si>
  <si>
    <t>2.1.5.02.06.04</t>
  </si>
  <si>
    <t>Comunicac Y Transporte Localid</t>
  </si>
  <si>
    <t>2.1.5.02.06.05</t>
  </si>
  <si>
    <t>Servicio De Mensajeriz</t>
  </si>
  <si>
    <t>2.1.5.02.06.06</t>
  </si>
  <si>
    <t>Serv Bienestar Social Accionis</t>
  </si>
  <si>
    <t>GTOS CONSULT JURIDICO CONTABLE</t>
  </si>
  <si>
    <t>2.1.5.02.09.03</t>
  </si>
  <si>
    <t>Donaciones Responsabili Social</t>
  </si>
  <si>
    <t>2.3.2.01.01.003.04.05</t>
  </si>
  <si>
    <t>Adq Materials Para Alum Public</t>
  </si>
  <si>
    <t>Compra Eleme Insumos Inirida</t>
  </si>
  <si>
    <t>1.1.02.05.001.0707       Rec X Serv Chorrobocon</t>
  </si>
  <si>
    <t>14. Presupuesto de gastos.</t>
  </si>
  <si>
    <t>16. Presupuesto.</t>
  </si>
  <si>
    <t>CONSTRUCCIÓN Y SUMINISTRO DE ELEMENTOS PARA LA AMPLIACIÓN DE INFRAESTRUCTURA EN MEDIA Y BAJA TENSIÓN QUE BENEFICIARA A NUEVOS USUARIOS UBICADOS EN EL MUNICIPIO DE INÍRIDA Y EN LAS  TIERRA ALTA, LA CAROLINA, PORVENIR, CAÑO VITINA, LA CAROLINA, ISMAEL RUIZ</t>
  </si>
  <si>
    <t>Aquisición e instalación 2000 mtrs de red, con sus respectivas las estructuras</t>
  </si>
  <si>
    <t>Ingreso a almacen 2000 mtrs de red</t>
  </si>
  <si>
    <t>REPOSICIÒN ACTIVOS PARQUE SOLAR BARRANCOMINAS</t>
  </si>
  <si>
    <t>Adquisiciòn paneles solares y elementos para repotenciar el parque solar de Barrancominas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</si>
</sst>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4" formatCode="#,###.00"/>
    <numFmt numFmtId="165" formatCode="&quot; &quot;* #,##0.00&quot; &quot;;&quot;-&quot;* #,##0.00&quot; &quot;;&quot; &quot;* &quot;-&quot;??&quot; &quot;"/>
    <numFmt numFmtId="166" formatCode="&quot; &quot;&quot;$&quot;&quot; &quot;* #,##0.00&quot; &quot;;&quot;-&quot;&quot;$&quot;&quot; &quot;* #,##0.00&quot; &quot;;&quot; &quot;&quot;$&quot;&quot; &quot;* &quot;-&quot;??&quot; &quot;"/>
    <numFmt numFmtId="167" formatCode="&quot; &quot;&quot;$&quot;&quot; &quot;* #,##0&quot; &quot;;&quot;-&quot;&quot;$&quot;&quot; &quot;* #,##0&quot; &quot;;&quot; &quot;&quot;$&quot;&quot; &quot;* &quot;- &quot;"/>
    <numFmt numFmtId="168" formatCode="0.0%"/>
  </numFmts>
  <fonts count="59">
    <font>
      <sz val="11"/>
      <color indexed="8"/>
      <name val="Calibri"/>
    </font>
    <font>
      <sz val="14"/>
      <color indexed="8"/>
      <name val="Century Gothic"/>
      <family val="2"/>
    </font>
    <font>
      <b/>
      <sz val="16"/>
      <color indexed="8"/>
      <name val="Century Gothic"/>
      <family val="2"/>
    </font>
    <font>
      <sz val="16"/>
      <color indexed="8"/>
      <name val="Century Gothic"/>
      <family val="2"/>
    </font>
    <font>
      <sz val="12"/>
      <color indexed="8"/>
      <name val="Century Gothic"/>
      <family val="2"/>
    </font>
    <font>
      <b/>
      <sz val="12"/>
      <color indexed="8"/>
      <name val="Century Gothic"/>
      <family val="2"/>
    </font>
    <font>
      <b/>
      <sz val="14"/>
      <color indexed="9"/>
      <name val="Calibri"/>
      <family val="2"/>
    </font>
    <font>
      <sz val="11"/>
      <color indexed="8"/>
      <name val="Helvetica Neue"/>
    </font>
    <font>
      <b/>
      <sz val="14"/>
      <color indexed="9"/>
      <name val="Century Gothic"/>
      <family val="2"/>
    </font>
    <font>
      <sz val="22"/>
      <color indexed="9"/>
      <name val="Century Gothic"/>
      <family val="2"/>
    </font>
    <font>
      <b/>
      <sz val="25"/>
      <color indexed="14"/>
      <name val="Arial"/>
      <family val="2"/>
    </font>
    <font>
      <b/>
      <sz val="18"/>
      <color indexed="8"/>
      <name val="Century Gothic"/>
      <family val="2"/>
    </font>
    <font>
      <b/>
      <sz val="18"/>
      <color indexed="14"/>
      <name val="Century Gothic"/>
      <family val="2"/>
    </font>
    <font>
      <b/>
      <sz val="18"/>
      <color indexed="9"/>
      <name val="Century Gothic"/>
      <family val="2"/>
    </font>
    <font>
      <b/>
      <sz val="16"/>
      <color indexed="12"/>
      <name val="Arial"/>
      <family val="2"/>
    </font>
    <font>
      <sz val="18"/>
      <color indexed="12"/>
      <name val="Century Gothic"/>
      <family val="2"/>
    </font>
    <font>
      <sz val="18"/>
      <color indexed="14"/>
      <name val="Century Gothic"/>
      <family val="2"/>
    </font>
    <font>
      <sz val="18"/>
      <color indexed="8"/>
      <name val="Century Gothic"/>
      <family val="2"/>
    </font>
    <font>
      <sz val="12"/>
      <color indexed="12"/>
      <name val="Arial"/>
      <family val="2"/>
    </font>
    <font>
      <sz val="12"/>
      <color indexed="14"/>
      <name val="Arial"/>
      <family val="2"/>
    </font>
    <font>
      <b/>
      <sz val="11"/>
      <color indexed="8"/>
      <name val="Arial"/>
      <family val="2"/>
    </font>
    <font>
      <b/>
      <sz val="25"/>
      <color indexed="14"/>
      <name val="Century Gothic"/>
      <family val="2"/>
    </font>
    <font>
      <sz val="16"/>
      <color indexed="12"/>
      <name val="Century Gothic"/>
      <family val="2"/>
    </font>
    <font>
      <u/>
      <sz val="11"/>
      <color indexed="17"/>
      <name val="Calibri"/>
      <family val="2"/>
    </font>
    <font>
      <sz val="16"/>
      <color indexed="18"/>
      <name val="Century Gothic"/>
      <family val="2"/>
    </font>
    <font>
      <b/>
      <sz val="25"/>
      <color indexed="12"/>
      <name val="Century Gothic"/>
      <family val="2"/>
    </font>
    <font>
      <sz val="16"/>
      <color indexed="12"/>
      <name val="Arial"/>
      <family val="2"/>
    </font>
    <font>
      <sz val="11"/>
      <color indexed="8"/>
      <name val="Arial"/>
      <family val="2"/>
    </font>
    <font>
      <sz val="16"/>
      <color indexed="8"/>
      <name val="Arial"/>
      <family val="2"/>
    </font>
    <font>
      <b/>
      <sz val="16"/>
      <color indexed="8"/>
      <name val="Arial"/>
      <family val="2"/>
    </font>
    <font>
      <sz val="14"/>
      <color indexed="8"/>
      <name val="Calibri"/>
      <family val="2"/>
    </font>
    <font>
      <sz val="14"/>
      <color indexed="12"/>
      <name val="Calibri"/>
      <family val="2"/>
    </font>
    <font>
      <b/>
      <sz val="20"/>
      <color indexed="8"/>
      <name val="Century Gothic"/>
      <family val="2"/>
    </font>
    <font>
      <sz val="14"/>
      <color indexed="12"/>
      <name val="Century Gothic"/>
      <family val="2"/>
    </font>
    <font>
      <sz val="15"/>
      <color indexed="8"/>
      <name val="Century Gothic"/>
      <family val="2"/>
    </font>
    <font>
      <sz val="14"/>
      <color indexed="12"/>
      <name val="Arial"/>
      <family val="2"/>
    </font>
    <font>
      <sz val="14"/>
      <color indexed="8"/>
      <name val="Arial"/>
      <family val="2"/>
    </font>
    <font>
      <b/>
      <sz val="24"/>
      <color indexed="8"/>
      <name val="Century Gothic"/>
      <family val="2"/>
    </font>
    <font>
      <b/>
      <sz val="12"/>
      <color indexed="8"/>
      <name val="Arial"/>
      <family val="2"/>
    </font>
    <font>
      <b/>
      <sz val="11"/>
      <color indexed="8"/>
      <name val="Century Gothic"/>
      <family val="2"/>
    </font>
    <font>
      <sz val="8"/>
      <color indexed="8"/>
      <name val="Century Gothic"/>
      <family val="2"/>
    </font>
    <font>
      <sz val="8"/>
      <color indexed="19"/>
      <name val="Arial"/>
      <family val="2"/>
    </font>
    <font>
      <sz val="8"/>
      <color indexed="8"/>
      <name val="Arial"/>
      <family val="2"/>
    </font>
    <font>
      <b/>
      <sz val="14"/>
      <color indexed="8"/>
      <name val="Century Gothic"/>
      <family val="2"/>
    </font>
    <font>
      <sz val="11"/>
      <color indexed="8"/>
      <name val="Century Gothic"/>
      <family val="2"/>
    </font>
    <font>
      <sz val="11"/>
      <color indexed="24"/>
      <name val="Century Gothic"/>
      <family val="2"/>
    </font>
    <font>
      <sz val="11"/>
      <color indexed="8"/>
      <name val="Calibri"/>
      <family val="2"/>
    </font>
    <font>
      <sz val="10"/>
      <color rgb="FF000000"/>
      <name val="Century Gothic"/>
      <family val="2"/>
    </font>
    <font>
      <sz val="11"/>
      <color indexed="8"/>
      <name val="Calibri"/>
      <family val="2"/>
    </font>
    <font>
      <sz val="16"/>
      <name val="Century Gothic"/>
      <family val="2"/>
    </font>
    <font>
      <b/>
      <sz val="11"/>
      <color rgb="FF000000"/>
      <name val="Century Gothic"/>
      <family val="2"/>
    </font>
    <font>
      <sz val="11"/>
      <color rgb="FF000000"/>
      <name val="Century Gothic"/>
      <family val="2"/>
    </font>
    <font>
      <sz val="11"/>
      <color indexed="8"/>
      <name val="Calibri"/>
    </font>
    <font>
      <sz val="8"/>
      <name val="Calibri"/>
    </font>
    <font>
      <sz val="11"/>
      <color rgb="FFFF0000"/>
      <name val="Century Gothic"/>
      <family val="2"/>
    </font>
    <font>
      <sz val="14"/>
      <color rgb="FF000000"/>
      <name val="Century Gothic"/>
      <family val="2"/>
    </font>
    <font>
      <b/>
      <sz val="26"/>
      <color indexed="8"/>
      <name val="Century Gothic"/>
      <family val="2"/>
    </font>
    <font>
      <sz val="16"/>
      <color rgb="FF000000"/>
      <name val="Century Gothic"/>
      <family val="2"/>
    </font>
    <font>
      <sz val="12"/>
      <color indexed="12"/>
      <name val="Century Gothic"/>
      <family val="2"/>
    </font>
  </fonts>
  <fills count="20">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6"/>
        <bgColor auto="1"/>
      </patternFill>
    </fill>
    <fill>
      <patternFill patternType="solid">
        <fgColor indexed="20"/>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indexed="25"/>
        <bgColor auto="1"/>
      </patternFill>
    </fill>
    <fill>
      <patternFill patternType="solid">
        <fgColor indexed="26"/>
        <bgColor auto="1"/>
      </patternFill>
    </fill>
    <fill>
      <patternFill patternType="solid">
        <fgColor indexed="27"/>
        <bgColor auto="1"/>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theme="0" tint="-4.9989318521683403E-2"/>
        <bgColor indexed="64"/>
      </patternFill>
    </fill>
  </fills>
  <borders count="142">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11"/>
      </left>
      <right/>
      <top style="thin">
        <color indexed="8"/>
      </top>
      <bottom/>
      <diagonal/>
    </border>
    <border>
      <left/>
      <right style="thin">
        <color indexed="11"/>
      </right>
      <top style="thin">
        <color indexed="8"/>
      </top>
      <bottom/>
      <diagonal/>
    </border>
    <border>
      <left style="thin">
        <color indexed="11"/>
      </left>
      <right/>
      <top/>
      <bottom/>
      <diagonal/>
    </border>
    <border>
      <left/>
      <right style="thin">
        <color indexed="11"/>
      </right>
      <top/>
      <bottom/>
      <diagonal/>
    </border>
    <border>
      <left style="thin">
        <color indexed="11"/>
      </left>
      <right/>
      <top/>
      <bottom style="thin">
        <color indexed="11"/>
      </bottom>
      <diagonal/>
    </border>
    <border>
      <left/>
      <right/>
      <top/>
      <bottom style="thin">
        <color indexed="11"/>
      </bottom>
      <diagonal/>
    </border>
    <border>
      <left/>
      <right style="thin">
        <color indexed="11"/>
      </right>
      <top/>
      <bottom style="thin">
        <color indexed="11"/>
      </bottom>
      <diagonal/>
    </border>
    <border>
      <left style="thin">
        <color indexed="11"/>
      </left>
      <right style="thin">
        <color indexed="11"/>
      </right>
      <top/>
      <bottom/>
      <diagonal/>
    </border>
    <border>
      <left/>
      <right/>
      <top/>
      <bottom style="medium">
        <color indexed="8"/>
      </bottom>
      <diagonal/>
    </border>
    <border>
      <left/>
      <right style="medium">
        <color indexed="8"/>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style="medium">
        <color indexed="8"/>
      </left>
      <right/>
      <top/>
      <bottom style="thin">
        <color indexed="8"/>
      </bottom>
      <diagonal/>
    </border>
    <border>
      <left/>
      <right style="medium">
        <color indexed="8"/>
      </right>
      <top/>
      <bottom style="thin">
        <color indexed="8"/>
      </bottom>
      <diagonal/>
    </border>
    <border>
      <left style="medium">
        <color indexed="8"/>
      </left>
      <right/>
      <top style="thin">
        <color indexed="8"/>
      </top>
      <bottom/>
      <diagonal/>
    </border>
    <border>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11"/>
      </left>
      <right/>
      <top style="thin">
        <color indexed="11"/>
      </top>
      <bottom/>
      <diagonal/>
    </border>
    <border>
      <left/>
      <right/>
      <top style="thin">
        <color indexed="11"/>
      </top>
      <bottom style="thin">
        <color indexed="11"/>
      </bottom>
      <diagonal/>
    </border>
    <border>
      <left/>
      <right/>
      <top style="thin">
        <color indexed="11"/>
      </top>
      <bottom/>
      <diagonal/>
    </border>
    <border>
      <left/>
      <right style="thin">
        <color indexed="11"/>
      </right>
      <top style="thin">
        <color indexed="11"/>
      </top>
      <bottom/>
      <diagonal/>
    </border>
    <border>
      <left style="thin">
        <color indexed="11"/>
      </left>
      <right/>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medium">
        <color indexed="8"/>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thin">
        <color indexed="11"/>
      </right>
      <top/>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8"/>
      </left>
      <right style="medium">
        <color indexed="15"/>
      </right>
      <top style="medium">
        <color indexed="8"/>
      </top>
      <bottom style="medium">
        <color indexed="15"/>
      </bottom>
      <diagonal/>
    </border>
    <border>
      <left style="medium">
        <color indexed="15"/>
      </left>
      <right style="medium">
        <color indexed="15"/>
      </right>
      <top style="medium">
        <color indexed="8"/>
      </top>
      <bottom style="medium">
        <color indexed="15"/>
      </bottom>
      <diagonal/>
    </border>
    <border>
      <left style="medium">
        <color indexed="15"/>
      </left>
      <right style="medium">
        <color indexed="8"/>
      </right>
      <top style="medium">
        <color indexed="8"/>
      </top>
      <bottom style="medium">
        <color indexed="15"/>
      </bottom>
      <diagonal/>
    </border>
    <border>
      <left style="thin">
        <color indexed="8"/>
      </left>
      <right style="medium">
        <color indexed="15"/>
      </right>
      <top style="medium">
        <color indexed="8"/>
      </top>
      <bottom style="medium">
        <color indexed="15"/>
      </bottom>
      <diagonal/>
    </border>
    <border>
      <left style="medium">
        <color indexed="15"/>
      </left>
      <right style="medium">
        <color indexed="15"/>
      </right>
      <top style="medium">
        <color indexed="15"/>
      </top>
      <bottom style="medium">
        <color indexed="15"/>
      </bottom>
      <diagonal/>
    </border>
    <border>
      <left style="medium">
        <color indexed="15"/>
      </left>
      <right style="thin">
        <color indexed="11"/>
      </right>
      <top/>
      <bottom/>
      <diagonal/>
    </border>
    <border>
      <left style="thin">
        <color indexed="8"/>
      </left>
      <right style="medium">
        <color indexed="15"/>
      </right>
      <top style="medium">
        <color indexed="15"/>
      </top>
      <bottom style="medium">
        <color indexed="15"/>
      </bottom>
      <diagonal/>
    </border>
    <border>
      <left style="thin">
        <color indexed="8"/>
      </left>
      <right style="medium">
        <color indexed="15"/>
      </right>
      <top style="medium">
        <color indexed="15"/>
      </top>
      <bottom style="thin">
        <color indexed="8"/>
      </bottom>
      <diagonal/>
    </border>
    <border>
      <left style="medium">
        <color indexed="15"/>
      </left>
      <right style="medium">
        <color indexed="15"/>
      </right>
      <top style="medium">
        <color indexed="15"/>
      </top>
      <bottom style="thin">
        <color indexed="8"/>
      </bottom>
      <diagonal/>
    </border>
    <border>
      <left style="thin">
        <color indexed="8"/>
      </left>
      <right style="thin">
        <color indexed="11"/>
      </right>
      <top/>
      <bottom/>
      <diagonal/>
    </border>
    <border>
      <left style="thin">
        <color indexed="8"/>
      </left>
      <right style="thin">
        <color indexed="8"/>
      </right>
      <top style="thin">
        <color indexed="8"/>
      </top>
      <bottom style="thin">
        <color indexed="11"/>
      </bottom>
      <diagonal/>
    </border>
    <border>
      <left style="thin">
        <color indexed="8"/>
      </left>
      <right style="thin">
        <color indexed="8"/>
      </right>
      <top style="thin">
        <color indexed="11"/>
      </top>
      <bottom style="thin">
        <color indexed="11"/>
      </bottom>
      <diagonal/>
    </border>
    <border>
      <left style="thin">
        <color indexed="8"/>
      </left>
      <right style="thin">
        <color indexed="8"/>
      </right>
      <top style="thin">
        <color indexed="8"/>
      </top>
      <bottom style="medium">
        <color indexed="15"/>
      </bottom>
      <diagonal/>
    </border>
    <border>
      <left style="thin">
        <color indexed="8"/>
      </left>
      <right style="medium">
        <color indexed="15"/>
      </right>
      <top style="thin">
        <color indexed="8"/>
      </top>
      <bottom style="thin">
        <color indexed="8"/>
      </bottom>
      <diagonal/>
    </border>
    <border>
      <left style="medium">
        <color indexed="15"/>
      </left>
      <right style="thin">
        <color indexed="8"/>
      </right>
      <top style="medium">
        <color indexed="15"/>
      </top>
      <bottom style="thin">
        <color indexed="8"/>
      </bottom>
      <diagonal/>
    </border>
    <border>
      <left style="thin">
        <color indexed="8"/>
      </left>
      <right style="thin">
        <color indexed="8"/>
      </right>
      <top style="thin">
        <color indexed="11"/>
      </top>
      <bottom style="thin">
        <color indexed="8"/>
      </bottom>
      <diagonal/>
    </border>
    <border>
      <left style="thin">
        <color indexed="11"/>
      </left>
      <right style="thin">
        <color indexed="11"/>
      </right>
      <top style="thin">
        <color indexed="8"/>
      </top>
      <bottom style="thin">
        <color indexed="11"/>
      </bottom>
      <diagonal/>
    </border>
    <border>
      <left style="thin">
        <color indexed="11"/>
      </left>
      <right/>
      <top style="thin">
        <color indexed="8"/>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top style="thin">
        <color indexed="11"/>
      </top>
      <bottom style="thin">
        <color indexed="11"/>
      </bottom>
      <diagonal/>
    </border>
    <border>
      <left style="thin">
        <color indexed="11"/>
      </left>
      <right style="thin">
        <color indexed="11"/>
      </right>
      <top style="thin">
        <color indexed="11"/>
      </top>
      <bottom/>
      <diagonal/>
    </border>
    <border>
      <left style="thin">
        <color indexed="11"/>
      </left>
      <right/>
      <top/>
      <bottom style="medium">
        <color indexed="15"/>
      </bottom>
      <diagonal/>
    </border>
    <border>
      <left/>
      <right/>
      <top/>
      <bottom style="medium">
        <color indexed="15"/>
      </bottom>
      <diagonal/>
    </border>
    <border>
      <left style="medium">
        <color indexed="15"/>
      </left>
      <right style="thin">
        <color indexed="8"/>
      </right>
      <top style="medium">
        <color indexed="15"/>
      </top>
      <bottom style="medium">
        <color indexed="15"/>
      </bottom>
      <diagonal/>
    </border>
    <border>
      <left style="medium">
        <color indexed="15"/>
      </left>
      <right style="medium">
        <color indexed="15"/>
      </right>
      <top style="thin">
        <color indexed="8"/>
      </top>
      <bottom style="medium">
        <color indexed="15"/>
      </bottom>
      <diagonal/>
    </border>
    <border>
      <left style="medium">
        <color indexed="15"/>
      </left>
      <right style="thin">
        <color indexed="11"/>
      </right>
      <top style="medium">
        <color indexed="15"/>
      </top>
      <bottom style="medium">
        <color indexed="15"/>
      </bottom>
      <diagonal/>
    </border>
    <border>
      <left style="thin">
        <color indexed="11"/>
      </left>
      <right style="thin">
        <color indexed="11"/>
      </right>
      <top style="medium">
        <color indexed="15"/>
      </top>
      <bottom style="medium">
        <color indexed="15"/>
      </bottom>
      <diagonal/>
    </border>
    <border>
      <left style="thin">
        <color indexed="11"/>
      </left>
      <right style="medium">
        <color indexed="15"/>
      </right>
      <top style="medium">
        <color indexed="15"/>
      </top>
      <bottom style="medium">
        <color indexed="15"/>
      </bottom>
      <diagonal/>
    </border>
    <border>
      <left style="thin">
        <color indexed="8"/>
      </left>
      <right style="medium">
        <color indexed="15"/>
      </right>
      <top style="thin">
        <color indexed="8"/>
      </top>
      <bottom style="medium">
        <color indexed="15"/>
      </bottom>
      <diagonal/>
    </border>
    <border>
      <left style="medium">
        <color indexed="15"/>
      </left>
      <right/>
      <top style="medium">
        <color indexed="15"/>
      </top>
      <bottom style="medium">
        <color indexed="15"/>
      </bottom>
      <diagonal/>
    </border>
    <border>
      <left/>
      <right/>
      <top style="medium">
        <color indexed="15"/>
      </top>
      <bottom style="medium">
        <color indexed="15"/>
      </bottom>
      <diagonal/>
    </border>
    <border>
      <left/>
      <right style="medium">
        <color indexed="15"/>
      </right>
      <top style="medium">
        <color indexed="15"/>
      </top>
      <bottom style="medium">
        <color indexed="15"/>
      </bottom>
      <diagonal/>
    </border>
    <border>
      <left style="thin">
        <color indexed="11"/>
      </left>
      <right/>
      <top style="medium">
        <color indexed="15"/>
      </top>
      <bottom/>
      <diagonal/>
    </border>
    <border>
      <left/>
      <right/>
      <top style="medium">
        <color indexed="15"/>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right/>
      <top/>
      <bottom/>
      <diagonal/>
    </border>
    <border>
      <left style="thin">
        <color indexed="8"/>
      </left>
      <right/>
      <top/>
      <bottom style="medium">
        <color indexed="8"/>
      </bottom>
      <diagonal/>
    </border>
    <border>
      <left/>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medium">
        <color indexed="11"/>
      </left>
      <right/>
      <top style="medium">
        <color indexed="8"/>
      </top>
      <bottom/>
      <diagonal/>
    </border>
    <border>
      <left/>
      <right style="thin">
        <color indexed="11"/>
      </right>
      <top style="medium">
        <color indexed="8"/>
      </top>
      <bottom style="thin">
        <color indexed="11"/>
      </bottom>
      <diagonal/>
    </border>
    <border>
      <left style="thin">
        <color indexed="11"/>
      </left>
      <right style="thin">
        <color indexed="11"/>
      </right>
      <top style="medium">
        <color indexed="8"/>
      </top>
      <bottom style="thin">
        <color indexed="11"/>
      </bottom>
      <diagonal/>
    </border>
    <border>
      <left style="thin">
        <color indexed="11"/>
      </left>
      <right style="medium">
        <color indexed="11"/>
      </right>
      <top style="medium">
        <color indexed="8"/>
      </top>
      <bottom style="thin">
        <color indexed="11"/>
      </bottom>
      <diagonal/>
    </border>
    <border>
      <left style="medium">
        <color indexed="11"/>
      </left>
      <right/>
      <top/>
      <bottom/>
      <diagonal/>
    </border>
    <border>
      <left/>
      <right style="thin">
        <color indexed="11"/>
      </right>
      <top style="thin">
        <color indexed="11"/>
      </top>
      <bottom style="thin">
        <color indexed="11"/>
      </bottom>
      <diagonal/>
    </border>
    <border>
      <left style="thin">
        <color indexed="11"/>
      </left>
      <right style="medium">
        <color indexed="11"/>
      </right>
      <top style="thin">
        <color indexed="11"/>
      </top>
      <bottom style="thin">
        <color indexed="11"/>
      </bottom>
      <diagonal/>
    </border>
    <border>
      <left style="medium">
        <color indexed="11"/>
      </left>
      <right/>
      <top/>
      <bottom style="medium">
        <color indexed="11"/>
      </bottom>
      <diagonal/>
    </border>
    <border>
      <left/>
      <right style="thin">
        <color indexed="11"/>
      </right>
      <top style="thin">
        <color indexed="11"/>
      </top>
      <bottom style="medium">
        <color indexed="8"/>
      </bottom>
      <diagonal/>
    </border>
    <border>
      <left style="thin">
        <color indexed="11"/>
      </left>
      <right style="thin">
        <color indexed="11"/>
      </right>
      <top style="thin">
        <color indexed="11"/>
      </top>
      <bottom style="medium">
        <color indexed="8"/>
      </bottom>
      <diagonal/>
    </border>
    <border>
      <left style="thin">
        <color indexed="11"/>
      </left>
      <right style="medium">
        <color indexed="11"/>
      </right>
      <top style="thin">
        <color indexed="11"/>
      </top>
      <bottom style="medium">
        <color indexed="8"/>
      </bottom>
      <diagonal/>
    </border>
    <border>
      <left style="thin">
        <color indexed="11"/>
      </left>
      <right/>
      <top style="medium">
        <color indexed="11"/>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11"/>
      </left>
      <right style="thin">
        <color indexed="8"/>
      </right>
      <top style="thin">
        <color indexed="8"/>
      </top>
      <bottom style="thin">
        <color indexed="11"/>
      </bottom>
      <diagonal/>
    </border>
    <border>
      <left style="thin">
        <color indexed="11"/>
      </left>
      <right style="thin">
        <color indexed="8"/>
      </right>
      <top style="thin">
        <color indexed="11"/>
      </top>
      <bottom/>
      <diagonal/>
    </border>
    <border>
      <left style="thin">
        <color indexed="11"/>
      </left>
      <right/>
      <top/>
      <bottom style="thin">
        <color indexed="8"/>
      </bottom>
      <diagonal/>
    </border>
    <border>
      <left style="thin">
        <color indexed="8"/>
      </left>
      <right style="thin">
        <color indexed="11"/>
      </right>
      <top style="thin">
        <color indexed="8"/>
      </top>
      <bottom style="thin">
        <color indexed="8"/>
      </bottom>
      <diagonal/>
    </border>
    <border>
      <left style="thin">
        <color indexed="11"/>
      </left>
      <right style="thin">
        <color indexed="11"/>
      </right>
      <top style="thin">
        <color indexed="8"/>
      </top>
      <bottom style="thin">
        <color indexed="8"/>
      </bottom>
      <diagonal/>
    </border>
    <border>
      <left style="thin">
        <color indexed="11"/>
      </left>
      <right style="thin">
        <color indexed="8"/>
      </right>
      <top style="thin">
        <color indexed="8"/>
      </top>
      <bottom style="thin">
        <color indexed="8"/>
      </bottom>
      <diagonal/>
    </border>
    <border>
      <left/>
      <right/>
      <top style="thin">
        <color indexed="11"/>
      </top>
      <bottom style="thin">
        <color indexed="8"/>
      </bottom>
      <diagonal/>
    </border>
    <border>
      <left style="thin">
        <color indexed="11"/>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11"/>
      </left>
      <right style="thin">
        <color indexed="8"/>
      </right>
      <top/>
      <bottom style="thin">
        <color indexed="8"/>
      </bottom>
      <diagonal/>
    </border>
    <border>
      <left style="thin">
        <color indexed="8"/>
      </left>
      <right style="thin">
        <color indexed="11"/>
      </right>
      <top/>
      <bottom style="thin">
        <color indexed="11"/>
      </bottom>
      <diagonal/>
    </border>
    <border>
      <left style="thin">
        <color indexed="8"/>
      </left>
      <right/>
      <top style="thin">
        <color indexed="11"/>
      </top>
      <bottom/>
      <diagonal/>
    </border>
    <border>
      <left style="thin">
        <color indexed="11"/>
      </left>
      <right style="thin">
        <color indexed="8"/>
      </right>
      <top style="thin">
        <color indexed="8"/>
      </top>
      <bottom/>
      <diagonal/>
    </border>
    <border>
      <left style="thin">
        <color indexed="11"/>
      </left>
      <right style="thin">
        <color indexed="8"/>
      </right>
      <top/>
      <bottom style="thin">
        <color indexed="11"/>
      </bottom>
      <diagonal/>
    </border>
    <border>
      <left style="thin">
        <color indexed="8"/>
      </left>
      <right style="thin">
        <color indexed="11"/>
      </right>
      <top style="thin">
        <color indexed="11"/>
      </top>
      <bottom style="thin">
        <color indexed="11"/>
      </bottom>
      <diagonal/>
    </border>
    <border>
      <left style="thin">
        <color indexed="11"/>
      </left>
      <right style="thin">
        <color indexed="11"/>
      </right>
      <top style="thin">
        <color indexed="11"/>
      </top>
      <bottom style="thin">
        <color indexed="8"/>
      </bottom>
      <diagonal/>
    </border>
    <border>
      <left/>
      <right style="thin">
        <color indexed="11"/>
      </right>
      <top style="thin">
        <color indexed="11"/>
      </top>
      <bottom style="thin">
        <color indexed="1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applyNumberFormat="0" applyFill="0" applyBorder="0" applyProtection="0"/>
    <xf numFmtId="9" fontId="48" fillId="0" borderId="0" applyFont="0" applyFill="0" applyBorder="0" applyAlignment="0" applyProtection="0"/>
    <xf numFmtId="43" fontId="52" fillId="0" borderId="0" applyFont="0" applyFill="0" applyBorder="0" applyAlignment="0" applyProtection="0"/>
    <xf numFmtId="44" fontId="52" fillId="0" borderId="0" applyFont="0" applyFill="0" applyBorder="0" applyAlignment="0" applyProtection="0"/>
  </cellStyleXfs>
  <cellXfs count="812">
    <xf numFmtId="0" fontId="0" fillId="0" borderId="0" xfId="0"/>
    <xf numFmtId="0" fontId="0" fillId="0" borderId="0" xfId="0" applyNumberFormat="1"/>
    <xf numFmtId="0" fontId="1" fillId="2" borderId="2" xfId="0" applyFont="1" applyFill="1" applyBorder="1" applyAlignment="1">
      <alignment horizontal="center" wrapText="1"/>
    </xf>
    <xf numFmtId="49" fontId="2" fillId="2" borderId="4" xfId="0" applyNumberFormat="1" applyFont="1" applyFill="1" applyBorder="1" applyAlignment="1">
      <alignment horizontal="center" vertical="center"/>
    </xf>
    <xf numFmtId="0" fontId="0" fillId="2" borderId="14" xfId="0" applyFill="1" applyBorder="1"/>
    <xf numFmtId="0" fontId="0" fillId="2" borderId="2" xfId="0" applyFill="1" applyBorder="1"/>
    <xf numFmtId="0" fontId="0" fillId="2" borderId="15" xfId="0" applyFill="1" applyBorder="1"/>
    <xf numFmtId="0" fontId="0" fillId="2" borderId="16" xfId="0" applyFill="1" applyBorder="1"/>
    <xf numFmtId="0" fontId="0" fillId="2" borderId="9" xfId="0" applyFill="1" applyBorder="1"/>
    <xf numFmtId="0" fontId="0" fillId="2" borderId="17" xfId="0" applyFill="1" applyBorder="1"/>
    <xf numFmtId="0" fontId="0" fillId="2" borderId="18" xfId="0" applyFill="1" applyBorder="1"/>
    <xf numFmtId="0" fontId="0" fillId="2" borderId="19" xfId="0" applyFill="1" applyBorder="1"/>
    <xf numFmtId="0" fontId="0" fillId="2" borderId="20" xfId="0" applyFill="1" applyBorder="1"/>
    <xf numFmtId="0" fontId="3" fillId="2" borderId="9" xfId="0" applyFont="1" applyFill="1" applyBorder="1"/>
    <xf numFmtId="0" fontId="3" fillId="2" borderId="22" xfId="0" applyFont="1" applyFill="1" applyBorder="1"/>
    <xf numFmtId="0" fontId="0" fillId="2" borderId="23" xfId="0" applyFill="1" applyBorder="1"/>
    <xf numFmtId="0" fontId="0" fillId="2" borderId="29" xfId="0" applyFill="1" applyBorder="1"/>
    <xf numFmtId="0" fontId="0" fillId="2" borderId="27" xfId="0" applyFill="1" applyBorder="1" applyAlignment="1">
      <alignment vertical="top"/>
    </xf>
    <xf numFmtId="0" fontId="0" fillId="2" borderId="9" xfId="0" applyFill="1" applyBorder="1" applyAlignment="1">
      <alignment vertical="top"/>
    </xf>
    <xf numFmtId="0" fontId="0" fillId="2" borderId="19" xfId="0" applyFill="1" applyBorder="1" applyAlignment="1">
      <alignment vertical="top"/>
    </xf>
    <xf numFmtId="0" fontId="1" fillId="2" borderId="14" xfId="0" applyFont="1" applyFill="1" applyBorder="1" applyAlignment="1">
      <alignment horizontal="center" wrapText="1"/>
    </xf>
    <xf numFmtId="0" fontId="2" fillId="2" borderId="2" xfId="0" applyFont="1" applyFill="1" applyBorder="1" applyAlignment="1">
      <alignment horizontal="center"/>
    </xf>
    <xf numFmtId="0" fontId="3" fillId="2" borderId="2" xfId="0" applyFont="1" applyFill="1" applyBorder="1" applyAlignment="1">
      <alignment horizontal="center"/>
    </xf>
    <xf numFmtId="0" fontId="3" fillId="2" borderId="15" xfId="0" applyFont="1" applyFill="1" applyBorder="1" applyAlignment="1">
      <alignment horizontal="center"/>
    </xf>
    <xf numFmtId="0" fontId="0" fillId="2" borderId="14" xfId="0" applyFill="1" applyBorder="1" applyAlignment="1">
      <alignment vertical="center"/>
    </xf>
    <xf numFmtId="0" fontId="0" fillId="2" borderId="2" xfId="0" applyFill="1" applyBorder="1" applyAlignment="1">
      <alignment vertical="center"/>
    </xf>
    <xf numFmtId="0" fontId="0" fillId="2" borderId="15" xfId="0" applyFill="1" applyBorder="1" applyAlignment="1">
      <alignment vertical="center"/>
    </xf>
    <xf numFmtId="0" fontId="0" fillId="2" borderId="16" xfId="0" applyFill="1" applyBorder="1" applyAlignment="1">
      <alignment vertical="center"/>
    </xf>
    <xf numFmtId="0" fontId="0" fillId="2" borderId="9" xfId="0" applyFill="1" applyBorder="1" applyAlignment="1">
      <alignment vertical="center"/>
    </xf>
    <xf numFmtId="0" fontId="0" fillId="2" borderId="17" xfId="0" applyFill="1" applyBorder="1" applyAlignment="1">
      <alignment vertical="center"/>
    </xf>
    <xf numFmtId="0" fontId="0" fillId="2" borderId="18" xfId="0" applyFill="1" applyBorder="1" applyAlignment="1">
      <alignment vertical="center"/>
    </xf>
    <xf numFmtId="0" fontId="0" fillId="2" borderId="19" xfId="0" applyFill="1" applyBorder="1" applyAlignment="1">
      <alignment vertical="center"/>
    </xf>
    <xf numFmtId="0" fontId="0" fillId="2" borderId="20" xfId="0" applyFill="1" applyBorder="1" applyAlignment="1">
      <alignment vertical="center"/>
    </xf>
    <xf numFmtId="0" fontId="0" fillId="2" borderId="40" xfId="0" applyFill="1" applyBorder="1" applyAlignment="1">
      <alignment vertical="center"/>
    </xf>
    <xf numFmtId="0" fontId="0" fillId="2" borderId="41" xfId="0" applyFill="1" applyBorder="1" applyAlignment="1">
      <alignment vertical="center"/>
    </xf>
    <xf numFmtId="0" fontId="0" fillId="2" borderId="42" xfId="0" applyFill="1" applyBorder="1" applyAlignment="1">
      <alignment vertical="center"/>
    </xf>
    <xf numFmtId="0" fontId="0" fillId="2" borderId="43" xfId="0" applyFill="1" applyBorder="1" applyAlignment="1">
      <alignment vertical="center"/>
    </xf>
    <xf numFmtId="0" fontId="0" fillId="3" borderId="17" xfId="0" applyFill="1" applyBorder="1" applyAlignment="1">
      <alignment vertical="center"/>
    </xf>
    <xf numFmtId="0" fontId="10" fillId="2" borderId="44" xfId="0" applyFont="1" applyFill="1" applyBorder="1" applyAlignment="1">
      <alignment vertical="center"/>
    </xf>
    <xf numFmtId="0" fontId="10" fillId="2" borderId="22" xfId="0" applyFont="1" applyFill="1" applyBorder="1" applyAlignment="1">
      <alignment vertical="center"/>
    </xf>
    <xf numFmtId="0" fontId="10" fillId="2" borderId="22" xfId="0" applyFont="1" applyFill="1" applyBorder="1" applyAlignment="1">
      <alignment horizontal="left" vertical="center"/>
    </xf>
    <xf numFmtId="0" fontId="0" fillId="2" borderId="22" xfId="0" applyFill="1" applyBorder="1" applyAlignment="1">
      <alignment vertical="center"/>
    </xf>
    <xf numFmtId="0" fontId="0" fillId="2" borderId="50" xfId="0" applyFill="1" applyBorder="1" applyAlignment="1">
      <alignment vertical="center"/>
    </xf>
    <xf numFmtId="0" fontId="13" fillId="4" borderId="54" xfId="0" applyNumberFormat="1" applyFont="1" applyFill="1" applyBorder="1" applyAlignment="1">
      <alignment horizontal="center" vertical="center" wrapText="1" readingOrder="1"/>
    </xf>
    <xf numFmtId="0" fontId="13" fillId="4" borderId="55" xfId="0" applyNumberFormat="1" applyFont="1" applyFill="1" applyBorder="1" applyAlignment="1">
      <alignment horizontal="center" vertical="center" wrapText="1" readingOrder="1"/>
    </xf>
    <xf numFmtId="0" fontId="13" fillId="4" borderId="56" xfId="0" applyNumberFormat="1" applyFont="1" applyFill="1" applyBorder="1" applyAlignment="1">
      <alignment horizontal="center" vertical="center" wrapText="1" readingOrder="1"/>
    </xf>
    <xf numFmtId="49" fontId="14" fillId="2" borderId="4" xfId="0" applyNumberFormat="1" applyFont="1" applyFill="1" applyBorder="1" applyAlignment="1">
      <alignment horizontal="center" vertical="center" wrapText="1" readingOrder="1"/>
    </xf>
    <xf numFmtId="49" fontId="15" fillId="2" borderId="57" xfId="0" applyNumberFormat="1" applyFont="1" applyFill="1" applyBorder="1" applyAlignment="1">
      <alignment horizontal="center" vertical="center" wrapText="1" readingOrder="1"/>
    </xf>
    <xf numFmtId="49" fontId="15" fillId="2" borderId="55" xfId="0" applyNumberFormat="1" applyFont="1" applyFill="1" applyBorder="1" applyAlignment="1">
      <alignment horizontal="center" vertical="center" wrapText="1" readingOrder="1"/>
    </xf>
    <xf numFmtId="49" fontId="15" fillId="2" borderId="58" xfId="0" applyNumberFormat="1" applyFont="1" applyFill="1" applyBorder="1" applyAlignment="1">
      <alignment horizontal="center" vertical="center" wrapText="1" readingOrder="1"/>
    </xf>
    <xf numFmtId="0" fontId="0" fillId="2" borderId="59" xfId="0" applyNumberFormat="1" applyFill="1" applyBorder="1" applyAlignment="1">
      <alignment vertical="center"/>
    </xf>
    <xf numFmtId="49" fontId="15" fillId="2" borderId="60" xfId="0" applyNumberFormat="1" applyFont="1" applyFill="1" applyBorder="1" applyAlignment="1">
      <alignment horizontal="center" vertical="center" wrapText="1" readingOrder="1"/>
    </xf>
    <xf numFmtId="0" fontId="0" fillId="2" borderId="59" xfId="0" applyFill="1" applyBorder="1" applyAlignment="1">
      <alignment vertical="center"/>
    </xf>
    <xf numFmtId="49" fontId="16" fillId="2" borderId="58" xfId="0" applyNumberFormat="1" applyFont="1" applyFill="1" applyBorder="1" applyAlignment="1">
      <alignment horizontal="center" vertical="center" wrapText="1" readingOrder="1"/>
    </xf>
    <xf numFmtId="49" fontId="15" fillId="2" borderId="61" xfId="0" applyNumberFormat="1" applyFont="1" applyFill="1" applyBorder="1" applyAlignment="1">
      <alignment horizontal="center" vertical="center" wrapText="1" readingOrder="1"/>
    </xf>
    <xf numFmtId="49" fontId="15" fillId="2" borderId="62" xfId="0" applyNumberFormat="1" applyFont="1" applyFill="1" applyBorder="1" applyAlignment="1">
      <alignment horizontal="center" vertical="center" wrapText="1" readingOrder="1"/>
    </xf>
    <xf numFmtId="49" fontId="16" fillId="2" borderId="62" xfId="0" applyNumberFormat="1" applyFont="1" applyFill="1" applyBorder="1" applyAlignment="1">
      <alignment horizontal="center" vertical="center" wrapText="1" readingOrder="1"/>
    </xf>
    <xf numFmtId="49" fontId="15" fillId="2" borderId="4" xfId="0" applyNumberFormat="1" applyFont="1" applyFill="1" applyBorder="1" applyAlignment="1">
      <alignment horizontal="center" vertical="center" wrapText="1" readingOrder="1"/>
    </xf>
    <xf numFmtId="9" fontId="15" fillId="2" borderId="4" xfId="0" applyNumberFormat="1" applyFont="1" applyFill="1" applyBorder="1" applyAlignment="1">
      <alignment horizontal="center" vertical="center" wrapText="1" readingOrder="1"/>
    </xf>
    <xf numFmtId="0" fontId="0" fillId="2" borderId="63" xfId="0" applyFill="1" applyBorder="1" applyAlignment="1">
      <alignment vertical="center"/>
    </xf>
    <xf numFmtId="49" fontId="17" fillId="2" borderId="66" xfId="0" applyNumberFormat="1" applyFont="1" applyFill="1" applyBorder="1" applyAlignment="1">
      <alignment horizontal="center" vertical="center" wrapText="1"/>
    </xf>
    <xf numFmtId="49" fontId="15" fillId="2" borderId="67" xfId="0" applyNumberFormat="1" applyFont="1" applyFill="1" applyBorder="1" applyAlignment="1">
      <alignment horizontal="center" vertical="center" wrapText="1" readingOrder="1"/>
    </xf>
    <xf numFmtId="49" fontId="3" fillId="2" borderId="68" xfId="0" applyNumberFormat="1" applyFont="1" applyFill="1" applyBorder="1" applyAlignment="1">
      <alignment horizontal="center" vertical="center" wrapText="1" readingOrder="1"/>
    </xf>
    <xf numFmtId="9" fontId="17" fillId="2" borderId="4" xfId="0" applyNumberFormat="1" applyFont="1" applyFill="1" applyBorder="1" applyAlignment="1">
      <alignment horizontal="center" vertical="center"/>
    </xf>
    <xf numFmtId="49" fontId="15" fillId="2" borderId="4" xfId="0" applyNumberFormat="1" applyFont="1" applyFill="1" applyBorder="1" applyAlignment="1">
      <alignment horizontal="center" wrapText="1" readingOrder="1"/>
    </xf>
    <xf numFmtId="9" fontId="16" fillId="2" borderId="4" xfId="0" applyNumberFormat="1" applyFont="1" applyFill="1" applyBorder="1" applyAlignment="1">
      <alignment horizontal="center" vertical="center" wrapText="1" readingOrder="1"/>
    </xf>
    <xf numFmtId="0" fontId="14" fillId="2" borderId="70" xfId="0" applyFont="1" applyFill="1" applyBorder="1" applyAlignment="1">
      <alignment vertical="center" wrapText="1" readingOrder="1"/>
    </xf>
    <xf numFmtId="0" fontId="18" fillId="2" borderId="70" xfId="0" applyFont="1" applyFill="1" applyBorder="1" applyAlignment="1">
      <alignment horizontal="center" wrapText="1" readingOrder="1"/>
    </xf>
    <xf numFmtId="0" fontId="18" fillId="2" borderId="70" xfId="0" applyFont="1" applyFill="1" applyBorder="1" applyAlignment="1">
      <alignment horizontal="left" vertical="center" wrapText="1" readingOrder="1"/>
    </xf>
    <xf numFmtId="0" fontId="18" fillId="2" borderId="70" xfId="0" applyFont="1" applyFill="1" applyBorder="1" applyAlignment="1">
      <alignment horizontal="center" vertical="center" wrapText="1" readingOrder="1"/>
    </xf>
    <xf numFmtId="0" fontId="18" fillId="2" borderId="71" xfId="0" applyFont="1" applyFill="1" applyBorder="1" applyAlignment="1">
      <alignment horizontal="center" vertical="center" wrapText="1" readingOrder="1"/>
    </xf>
    <xf numFmtId="0" fontId="14" fillId="2" borderId="72" xfId="0" applyFont="1" applyFill="1" applyBorder="1" applyAlignment="1">
      <alignment vertical="center" wrapText="1" readingOrder="1"/>
    </xf>
    <xf numFmtId="0" fontId="18" fillId="2" borderId="72" xfId="0" applyFont="1" applyFill="1" applyBorder="1" applyAlignment="1">
      <alignment horizontal="center" wrapText="1" readingOrder="1"/>
    </xf>
    <xf numFmtId="0" fontId="18" fillId="2" borderId="72" xfId="0" applyFont="1" applyFill="1" applyBorder="1" applyAlignment="1">
      <alignment horizontal="left" vertical="center" wrapText="1" readingOrder="1"/>
    </xf>
    <xf numFmtId="0" fontId="18" fillId="2" borderId="72" xfId="0" applyFont="1" applyFill="1" applyBorder="1" applyAlignment="1">
      <alignment horizontal="center" vertical="center" wrapText="1" readingOrder="1"/>
    </xf>
    <xf numFmtId="0" fontId="18" fillId="2" borderId="73" xfId="0" applyFont="1" applyFill="1" applyBorder="1" applyAlignment="1">
      <alignment horizontal="center" vertical="center" wrapText="1" readingOrder="1"/>
    </xf>
    <xf numFmtId="0" fontId="14" fillId="2" borderId="72" xfId="0" applyFont="1" applyFill="1" applyBorder="1" applyAlignment="1">
      <alignment horizontal="center" vertical="center" wrapText="1" readingOrder="1"/>
    </xf>
    <xf numFmtId="9" fontId="18" fillId="2" borderId="72" xfId="0" applyNumberFormat="1" applyFont="1" applyFill="1" applyBorder="1" applyAlignment="1">
      <alignment horizontal="center" vertical="center" wrapText="1" readingOrder="1"/>
    </xf>
    <xf numFmtId="9" fontId="18" fillId="2" borderId="73" xfId="0" applyNumberFormat="1" applyFont="1" applyFill="1" applyBorder="1" applyAlignment="1">
      <alignment horizontal="center" vertical="center" wrapText="1" readingOrder="1"/>
    </xf>
    <xf numFmtId="2" fontId="19" fillId="2" borderId="72" xfId="0" applyNumberFormat="1" applyFont="1" applyFill="1" applyBorder="1" applyAlignment="1">
      <alignment horizontal="center" vertical="center" wrapText="1" readingOrder="1"/>
    </xf>
    <xf numFmtId="2" fontId="19" fillId="2" borderId="73" xfId="0" applyNumberFormat="1" applyFont="1" applyFill="1" applyBorder="1" applyAlignment="1">
      <alignment horizontal="center" vertical="center" wrapText="1" readingOrder="1"/>
    </xf>
    <xf numFmtId="1" fontId="18" fillId="2" borderId="72" xfId="0" applyNumberFormat="1" applyFont="1" applyFill="1" applyBorder="1" applyAlignment="1">
      <alignment horizontal="center" vertical="center" wrapText="1" readingOrder="1"/>
    </xf>
    <xf numFmtId="1" fontId="18" fillId="2" borderId="73" xfId="0" applyNumberFormat="1" applyFont="1" applyFill="1" applyBorder="1" applyAlignment="1">
      <alignment horizontal="center" vertical="center" wrapText="1" readingOrder="1"/>
    </xf>
    <xf numFmtId="0" fontId="18" fillId="2" borderId="74" xfId="0" applyFont="1" applyFill="1" applyBorder="1" applyAlignment="1">
      <alignment horizontal="left" vertical="center" wrapText="1" readingOrder="1"/>
    </xf>
    <xf numFmtId="1" fontId="18" fillId="2" borderId="74" xfId="0" applyNumberFormat="1" applyFont="1" applyFill="1" applyBorder="1" applyAlignment="1">
      <alignment horizontal="center" vertical="center" wrapText="1" readingOrder="1"/>
    </xf>
    <xf numFmtId="1" fontId="18" fillId="2" borderId="40" xfId="0" applyNumberFormat="1" applyFont="1" applyFill="1" applyBorder="1" applyAlignment="1">
      <alignment horizontal="center" vertical="center" wrapText="1" readingOrder="1"/>
    </xf>
    <xf numFmtId="0" fontId="10" fillId="2" borderId="9" xfId="0" applyFont="1" applyFill="1" applyBorder="1" applyAlignment="1">
      <alignment horizontal="left" vertical="center"/>
    </xf>
    <xf numFmtId="0" fontId="20" fillId="2" borderId="19" xfId="0" applyFont="1" applyFill="1" applyBorder="1" applyAlignment="1">
      <alignment horizontal="center" vertical="center"/>
    </xf>
    <xf numFmtId="0" fontId="0" fillId="5" borderId="40" xfId="0" applyFill="1" applyBorder="1" applyAlignment="1">
      <alignment vertical="center"/>
    </xf>
    <xf numFmtId="49" fontId="5" fillId="3" borderId="58" xfId="0" applyNumberFormat="1" applyFont="1" applyFill="1" applyBorder="1" applyAlignment="1">
      <alignment horizontal="center" vertical="center" wrapText="1" readingOrder="1"/>
    </xf>
    <xf numFmtId="0" fontId="22" fillId="2" borderId="58" xfId="0" applyNumberFormat="1" applyFont="1" applyFill="1" applyBorder="1" applyAlignment="1">
      <alignment horizontal="center" vertical="center" wrapText="1" readingOrder="1"/>
    </xf>
    <xf numFmtId="49" fontId="22" fillId="2" borderId="58" xfId="0" applyNumberFormat="1" applyFont="1" applyFill="1" applyBorder="1" applyAlignment="1">
      <alignment horizontal="center" vertical="center" wrapText="1" readingOrder="1"/>
    </xf>
    <xf numFmtId="49" fontId="22" fillId="2" borderId="58" xfId="0" applyNumberFormat="1" applyFont="1" applyFill="1" applyBorder="1" applyAlignment="1">
      <alignment horizontal="left" vertical="center" wrapText="1" readingOrder="1"/>
    </xf>
    <xf numFmtId="49" fontId="22" fillId="2" borderId="62" xfId="0" applyNumberFormat="1" applyFont="1" applyFill="1" applyBorder="1" applyAlignment="1">
      <alignment horizontal="center" vertical="center" wrapText="1" readingOrder="1"/>
    </xf>
    <xf numFmtId="49" fontId="23" fillId="2" borderId="58" xfId="0" applyNumberFormat="1" applyFont="1" applyFill="1" applyBorder="1" applyAlignment="1">
      <alignment horizontal="center" vertical="center" wrapText="1" readingOrder="1"/>
    </xf>
    <xf numFmtId="49" fontId="22" fillId="2" borderId="77" xfId="0" applyNumberFormat="1" applyFont="1" applyFill="1" applyBorder="1" applyAlignment="1">
      <alignment horizontal="center" vertical="center" wrapText="1" readingOrder="1"/>
    </xf>
    <xf numFmtId="49" fontId="3" fillId="2" borderId="4" xfId="0" applyNumberFormat="1" applyFont="1" applyFill="1" applyBorder="1" applyAlignment="1">
      <alignment horizontal="center" vertical="center" wrapText="1"/>
    </xf>
    <xf numFmtId="49" fontId="22" fillId="2" borderId="60" xfId="0" applyNumberFormat="1" applyFont="1" applyFill="1" applyBorder="1" applyAlignment="1">
      <alignment horizontal="center" vertical="center" wrapText="1" readingOrder="1"/>
    </xf>
    <xf numFmtId="49" fontId="24" fillId="2" borderId="78" xfId="0" applyNumberFormat="1" applyFont="1" applyFill="1" applyBorder="1" applyAlignment="1">
      <alignment horizontal="center" wrapText="1"/>
    </xf>
    <xf numFmtId="49" fontId="3" fillId="2" borderId="58" xfId="0" applyNumberFormat="1" applyFont="1" applyFill="1" applyBorder="1" applyAlignment="1">
      <alignment horizontal="left" vertical="center" wrapText="1" readingOrder="1"/>
    </xf>
    <xf numFmtId="49" fontId="3" fillId="2" borderId="58" xfId="0" applyNumberFormat="1" applyFont="1" applyFill="1" applyBorder="1" applyAlignment="1">
      <alignment horizontal="center" vertical="center" wrapText="1" readingOrder="1"/>
    </xf>
    <xf numFmtId="0" fontId="22" fillId="2" borderId="58" xfId="0" applyFont="1" applyFill="1" applyBorder="1" applyAlignment="1">
      <alignment horizontal="center" vertical="center" wrapText="1" readingOrder="1"/>
    </xf>
    <xf numFmtId="49" fontId="5" fillId="2" borderId="58" xfId="0" applyNumberFormat="1" applyFont="1" applyFill="1" applyBorder="1" applyAlignment="1">
      <alignment horizontal="center" vertical="center" wrapText="1" readingOrder="1"/>
    </xf>
    <xf numFmtId="49" fontId="5" fillId="2" borderId="62" xfId="0" applyNumberFormat="1" applyFont="1" applyFill="1" applyBorder="1" applyAlignment="1">
      <alignment horizontal="center" vertical="center" wrapText="1" readingOrder="1"/>
    </xf>
    <xf numFmtId="0" fontId="18" fillId="2" borderId="58" xfId="0" applyNumberFormat="1" applyFont="1" applyFill="1" applyBorder="1" applyAlignment="1">
      <alignment horizontal="center" vertical="center" wrapText="1" readingOrder="1"/>
    </xf>
    <xf numFmtId="49" fontId="26" fillId="2" borderId="77" xfId="0" applyNumberFormat="1" applyFont="1" applyFill="1" applyBorder="1" applyAlignment="1">
      <alignment horizontal="center" vertical="center" wrapText="1" readingOrder="1"/>
    </xf>
    <xf numFmtId="49" fontId="22" fillId="2" borderId="67" xfId="0" applyNumberFormat="1" applyFont="1" applyFill="1" applyBorder="1" applyAlignment="1">
      <alignment horizontal="center" vertical="center" wrapText="1" readingOrder="1"/>
    </xf>
    <xf numFmtId="0" fontId="26" fillId="2" borderId="58" xfId="0" applyFont="1" applyFill="1" applyBorder="1" applyAlignment="1">
      <alignment horizontal="center" vertical="center" wrapText="1" readingOrder="1"/>
    </xf>
    <xf numFmtId="49" fontId="22" fillId="2" borderId="82" xfId="0" applyNumberFormat="1" applyFont="1" applyFill="1" applyBorder="1" applyAlignment="1">
      <alignment horizontal="center" vertical="center" wrapText="1" readingOrder="1"/>
    </xf>
    <xf numFmtId="49" fontId="26" fillId="2" borderId="58" xfId="0" applyNumberFormat="1" applyFont="1" applyFill="1" applyBorder="1" applyAlignment="1">
      <alignment horizontal="center" vertical="center" wrapText="1" readingOrder="1"/>
    </xf>
    <xf numFmtId="0" fontId="18" fillId="2" borderId="58" xfId="0" applyFont="1" applyFill="1" applyBorder="1" applyAlignment="1">
      <alignment horizontal="center" vertical="center" wrapText="1" readingOrder="1"/>
    </xf>
    <xf numFmtId="49" fontId="2" fillId="3" borderId="58" xfId="0" applyNumberFormat="1" applyFont="1" applyFill="1" applyBorder="1" applyAlignment="1">
      <alignment horizontal="center" vertical="center" wrapText="1" readingOrder="1"/>
    </xf>
    <xf numFmtId="0" fontId="3" fillId="2" borderId="58" xfId="0" applyNumberFormat="1" applyFont="1" applyFill="1" applyBorder="1" applyAlignment="1">
      <alignment horizontal="center" vertical="center" wrapText="1" readingOrder="1"/>
    </xf>
    <xf numFmtId="49" fontId="3" fillId="2" borderId="62" xfId="0" applyNumberFormat="1" applyFont="1" applyFill="1" applyBorder="1" applyAlignment="1">
      <alignment horizontal="center" vertical="center" wrapText="1" readingOrder="1"/>
    </xf>
    <xf numFmtId="49" fontId="3" fillId="2" borderId="62" xfId="0" applyNumberFormat="1" applyFont="1" applyFill="1" applyBorder="1" applyAlignment="1">
      <alignment horizontal="left" vertical="center" wrapText="1" readingOrder="1"/>
    </xf>
    <xf numFmtId="0" fontId="3" fillId="2" borderId="77" xfId="0" applyNumberFormat="1" applyFont="1" applyFill="1" applyBorder="1" applyAlignment="1">
      <alignment horizontal="center" vertical="center" wrapText="1" readingOrder="1"/>
    </xf>
    <xf numFmtId="49" fontId="15" fillId="2" borderId="66" xfId="0" applyNumberFormat="1" applyFont="1" applyFill="1" applyBorder="1" applyAlignment="1">
      <alignment horizontal="center" vertical="center" wrapText="1" readingOrder="1"/>
    </xf>
    <xf numFmtId="49" fontId="15" fillId="2" borderId="82" xfId="0" applyNumberFormat="1" applyFont="1" applyFill="1" applyBorder="1" applyAlignment="1">
      <alignment horizontal="center" vertical="center" wrapText="1" readingOrder="1"/>
    </xf>
    <xf numFmtId="49" fontId="3" fillId="2" borderId="77" xfId="0" applyNumberFormat="1" applyFont="1" applyFill="1" applyBorder="1" applyAlignment="1">
      <alignment horizontal="center" vertical="center" wrapText="1" readingOrder="1"/>
    </xf>
    <xf numFmtId="0" fontId="23" fillId="2" borderId="58" xfId="0" applyFont="1" applyFill="1" applyBorder="1" applyAlignment="1">
      <alignment horizontal="center" vertical="center" wrapText="1" readingOrder="1"/>
    </xf>
    <xf numFmtId="0" fontId="3" fillId="2" borderId="58" xfId="0" applyFont="1" applyFill="1" applyBorder="1" applyAlignment="1">
      <alignment horizontal="center" vertical="center" wrapText="1" readingOrder="1"/>
    </xf>
    <xf numFmtId="0" fontId="0" fillId="2" borderId="83" xfId="0" applyFill="1" applyBorder="1" applyAlignment="1">
      <alignment vertical="center"/>
    </xf>
    <xf numFmtId="0" fontId="0" fillId="2" borderId="84" xfId="0" applyFill="1" applyBorder="1" applyAlignment="1">
      <alignment vertical="center"/>
    </xf>
    <xf numFmtId="0" fontId="0" fillId="2" borderId="86" xfId="0" applyFill="1" applyBorder="1" applyAlignment="1">
      <alignment vertical="center"/>
    </xf>
    <xf numFmtId="0" fontId="0" fillId="2" borderId="87" xfId="0" applyFill="1" applyBorder="1" applyAlignment="1">
      <alignment vertical="center"/>
    </xf>
    <xf numFmtId="0" fontId="27" fillId="2" borderId="9" xfId="0" applyFont="1" applyFill="1" applyBorder="1" applyAlignment="1">
      <alignment horizontal="center" vertical="center"/>
    </xf>
    <xf numFmtId="0" fontId="0" fillId="0" borderId="72" xfId="0" applyBorder="1"/>
    <xf numFmtId="49" fontId="2" fillId="3" borderId="4" xfId="0" applyNumberFormat="1" applyFont="1" applyFill="1" applyBorder="1" applyAlignment="1">
      <alignment horizontal="center" vertical="center"/>
    </xf>
    <xf numFmtId="0" fontId="0" fillId="2" borderId="40" xfId="0" applyFill="1" applyBorder="1"/>
    <xf numFmtId="0" fontId="0" fillId="2" borderId="42" xfId="0" applyFill="1" applyBorder="1"/>
    <xf numFmtId="0" fontId="0" fillId="0" borderId="41" xfId="0" applyBorder="1"/>
    <xf numFmtId="0" fontId="0" fillId="2" borderId="43" xfId="0" applyFill="1" applyBorder="1"/>
    <xf numFmtId="0" fontId="0" fillId="2" borderId="12" xfId="0" applyFill="1" applyBorder="1"/>
    <xf numFmtId="0" fontId="0" fillId="0" borderId="118" xfId="0" applyBorder="1"/>
    <xf numFmtId="0" fontId="30" fillId="2" borderId="119" xfId="0" applyFont="1" applyFill="1" applyBorder="1" applyAlignment="1">
      <alignment horizontal="center"/>
    </xf>
    <xf numFmtId="0" fontId="31" fillId="2" borderId="4" xfId="0" applyFont="1" applyFill="1" applyBorder="1" applyAlignment="1">
      <alignment horizontal="center" vertical="center"/>
    </xf>
    <xf numFmtId="49" fontId="32" fillId="3" borderId="4" xfId="0" applyNumberFormat="1" applyFont="1" applyFill="1" applyBorder="1" applyAlignment="1">
      <alignment horizontal="center" vertical="center"/>
    </xf>
    <xf numFmtId="0" fontId="32" fillId="2" borderId="4" xfId="0" applyFont="1" applyFill="1" applyBorder="1" applyAlignment="1">
      <alignment horizontal="center" vertical="center"/>
    </xf>
    <xf numFmtId="0" fontId="0" fillId="2" borderId="63" xfId="0" applyFill="1" applyBorder="1"/>
    <xf numFmtId="0" fontId="31" fillId="2" borderId="4" xfId="0" applyNumberFormat="1" applyFont="1" applyFill="1" applyBorder="1" applyAlignment="1">
      <alignment horizontal="center" vertical="center"/>
    </xf>
    <xf numFmtId="49" fontId="1" fillId="2" borderId="4" xfId="0" applyNumberFormat="1" applyFont="1" applyFill="1" applyBorder="1" applyAlignment="1">
      <alignment horizontal="justify" vertical="center"/>
    </xf>
    <xf numFmtId="0" fontId="1" fillId="2" borderId="4" xfId="0" applyNumberFormat="1" applyFont="1" applyFill="1" applyBorder="1" applyAlignment="1">
      <alignment horizontal="center" vertical="center"/>
    </xf>
    <xf numFmtId="49" fontId="1" fillId="2" borderId="4" xfId="0" applyNumberFormat="1" applyFont="1" applyFill="1" applyBorder="1" applyAlignment="1">
      <alignment vertical="center" wrapText="1"/>
    </xf>
    <xf numFmtId="49" fontId="33" fillId="2" borderId="4" xfId="0" applyNumberFormat="1" applyFont="1" applyFill="1" applyBorder="1" applyAlignment="1">
      <alignment vertical="center" wrapText="1"/>
    </xf>
    <xf numFmtId="0" fontId="33" fillId="2" borderId="4" xfId="0" applyNumberFormat="1" applyFont="1" applyFill="1" applyBorder="1" applyAlignment="1">
      <alignment horizontal="center" vertical="center" wrapText="1"/>
    </xf>
    <xf numFmtId="49" fontId="1" fillId="2" borderId="4" xfId="0" applyNumberFormat="1" applyFont="1" applyFill="1" applyBorder="1" applyAlignment="1">
      <alignment vertical="center"/>
    </xf>
    <xf numFmtId="49" fontId="33"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49" fontId="1" fillId="2" borderId="5" xfId="0" applyNumberFormat="1" applyFont="1" applyFill="1" applyBorder="1" applyAlignment="1">
      <alignment vertical="center" wrapText="1"/>
    </xf>
    <xf numFmtId="49" fontId="1" fillId="2" borderId="4" xfId="0" applyNumberFormat="1" applyFont="1" applyFill="1" applyBorder="1" applyAlignment="1">
      <alignment horizontal="left"/>
    </xf>
    <xf numFmtId="0" fontId="30" fillId="2" borderId="123" xfId="0" applyFont="1" applyFill="1" applyBorder="1" applyAlignment="1">
      <alignment horizontal="center"/>
    </xf>
    <xf numFmtId="0" fontId="32" fillId="3" borderId="4" xfId="0" applyFont="1" applyFill="1" applyBorder="1" applyAlignment="1">
      <alignment horizontal="center" vertical="center"/>
    </xf>
    <xf numFmtId="0" fontId="30" fillId="2" borderId="4" xfId="0" applyNumberFormat="1" applyFont="1" applyFill="1" applyBorder="1" applyAlignment="1">
      <alignment horizontal="center" vertical="center"/>
    </xf>
    <xf numFmtId="49" fontId="33" fillId="2" borderId="4" xfId="0" applyNumberFormat="1" applyFont="1" applyFill="1" applyBorder="1" applyAlignment="1">
      <alignment vertical="center"/>
    </xf>
    <xf numFmtId="0" fontId="33" fillId="2" borderId="4" xfId="0" applyFont="1" applyFill="1" applyBorder="1" applyAlignment="1">
      <alignment vertical="center"/>
    </xf>
    <xf numFmtId="49" fontId="34" fillId="2" borderId="4" xfId="0" applyNumberFormat="1" applyFont="1" applyFill="1" applyBorder="1" applyAlignment="1">
      <alignment vertical="center" wrapText="1"/>
    </xf>
    <xf numFmtId="0" fontId="1" fillId="2" borderId="4" xfId="0" applyFont="1" applyFill="1" applyBorder="1" applyAlignment="1">
      <alignment horizontal="left" vertical="center"/>
    </xf>
    <xf numFmtId="49" fontId="1" fillId="2" borderId="4" xfId="0" applyNumberFormat="1" applyFont="1" applyFill="1" applyBorder="1" applyAlignment="1">
      <alignment wrapText="1"/>
    </xf>
    <xf numFmtId="0" fontId="1" fillId="2" borderId="4" xfId="0" applyFont="1" applyFill="1" applyBorder="1"/>
    <xf numFmtId="0" fontId="1" fillId="0" borderId="4" xfId="0" applyFont="1" applyBorder="1" applyAlignment="1">
      <alignment horizontal="left"/>
    </xf>
    <xf numFmtId="49" fontId="33" fillId="2" borderId="4" xfId="0" applyNumberFormat="1" applyFont="1" applyFill="1" applyBorder="1" applyAlignment="1">
      <alignment horizontal="left" vertical="center"/>
    </xf>
    <xf numFmtId="0" fontId="30" fillId="2" borderId="4" xfId="0" applyNumberFormat="1" applyFont="1" applyFill="1" applyBorder="1" applyAlignment="1">
      <alignment horizontal="center"/>
    </xf>
    <xf numFmtId="0" fontId="33" fillId="2" borderId="4" xfId="0" applyFont="1" applyFill="1" applyBorder="1" applyAlignment="1">
      <alignment vertical="center" wrapText="1"/>
    </xf>
    <xf numFmtId="0" fontId="1" fillId="2" borderId="4" xfId="0" applyFont="1" applyFill="1" applyBorder="1" applyAlignment="1">
      <alignment vertical="center" wrapText="1"/>
    </xf>
    <xf numFmtId="0" fontId="1" fillId="2" borderId="4" xfId="0" applyFont="1" applyFill="1" applyBorder="1" applyAlignment="1">
      <alignment vertical="center"/>
    </xf>
    <xf numFmtId="0" fontId="33" fillId="2" borderId="4" xfId="0" applyFont="1" applyFill="1" applyBorder="1" applyAlignment="1">
      <alignment horizontal="left" vertical="center" wrapText="1"/>
    </xf>
    <xf numFmtId="0" fontId="33" fillId="2" borderId="4" xfId="0" applyFont="1" applyFill="1" applyBorder="1" applyAlignment="1">
      <alignment horizontal="left" vertical="center"/>
    </xf>
    <xf numFmtId="49" fontId="1" fillId="2" borderId="4" xfId="0" applyNumberFormat="1" applyFont="1" applyFill="1" applyBorder="1"/>
    <xf numFmtId="0" fontId="30" fillId="2" borderId="117" xfId="0" applyFont="1" applyFill="1" applyBorder="1" applyAlignment="1">
      <alignment horizontal="center"/>
    </xf>
    <xf numFmtId="0" fontId="32" fillId="3" borderId="4" xfId="0" applyFont="1" applyFill="1" applyBorder="1" applyAlignment="1">
      <alignment horizontal="left" vertical="center"/>
    </xf>
    <xf numFmtId="0" fontId="35" fillId="2" borderId="4" xfId="0" applyFont="1" applyFill="1" applyBorder="1" applyAlignment="1">
      <alignment vertical="center" wrapText="1"/>
    </xf>
    <xf numFmtId="0" fontId="33"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36" fillId="2" borderId="4" xfId="0" applyFont="1" applyFill="1" applyBorder="1" applyAlignment="1">
      <alignment vertical="center"/>
    </xf>
    <xf numFmtId="0" fontId="1" fillId="2" borderId="4" xfId="0" applyFont="1" applyFill="1" applyBorder="1" applyAlignment="1">
      <alignment horizontal="center" vertical="center" wrapText="1"/>
    </xf>
    <xf numFmtId="0" fontId="36" fillId="2" borderId="4" xfId="0" applyFont="1" applyFill="1" applyBorder="1" applyAlignment="1">
      <alignment vertical="center" wrapText="1"/>
    </xf>
    <xf numFmtId="49" fontId="1" fillId="2" borderId="4" xfId="0" applyNumberFormat="1" applyFont="1" applyFill="1" applyBorder="1" applyAlignment="1">
      <alignment horizontal="left" vertical="center"/>
    </xf>
    <xf numFmtId="0" fontId="36" fillId="2" borderId="64" xfId="0" applyFont="1" applyFill="1" applyBorder="1" applyAlignment="1">
      <alignment vertical="center"/>
    </xf>
    <xf numFmtId="0" fontId="36" fillId="2" borderId="65" xfId="0" applyFont="1" applyFill="1" applyBorder="1" applyAlignment="1">
      <alignment vertical="center"/>
    </xf>
    <xf numFmtId="0" fontId="28" fillId="2" borderId="4" xfId="0" applyFont="1" applyFill="1" applyBorder="1" applyAlignment="1">
      <alignment horizontal="center" vertical="center"/>
    </xf>
    <xf numFmtId="0" fontId="0" fillId="2" borderId="124" xfId="0" applyFill="1" applyBorder="1"/>
    <xf numFmtId="0" fontId="0" fillId="2" borderId="125" xfId="0" applyFill="1" applyBorder="1"/>
    <xf numFmtId="0" fontId="0" fillId="2" borderId="8" xfId="0" applyFill="1" applyBorder="1"/>
    <xf numFmtId="0" fontId="3" fillId="2" borderId="14" xfId="0" applyFont="1" applyFill="1" applyBorder="1"/>
    <xf numFmtId="0" fontId="3" fillId="2" borderId="2" xfId="0" applyFont="1" applyFill="1" applyBorder="1"/>
    <xf numFmtId="0" fontId="3" fillId="2" borderId="16" xfId="0" applyFont="1" applyFill="1" applyBorder="1"/>
    <xf numFmtId="0" fontId="3" fillId="2" borderId="114" xfId="0" applyFont="1" applyFill="1" applyBorder="1"/>
    <xf numFmtId="0" fontId="3" fillId="2" borderId="12" xfId="0" applyFont="1" applyFill="1" applyBorder="1"/>
    <xf numFmtId="49" fontId="2" fillId="2" borderId="4" xfId="0" applyNumberFormat="1" applyFont="1" applyFill="1" applyBorder="1"/>
    <xf numFmtId="0" fontId="3" fillId="2" borderId="11" xfId="0" applyFont="1" applyFill="1" applyBorder="1"/>
    <xf numFmtId="0" fontId="2" fillId="2" borderId="4" xfId="0" applyFont="1" applyFill="1" applyBorder="1" applyAlignment="1">
      <alignment horizontal="center" vertical="center"/>
    </xf>
    <xf numFmtId="49" fontId="2" fillId="2" borderId="4" xfId="0" applyNumberFormat="1" applyFont="1" applyFill="1" applyBorder="1" applyAlignment="1">
      <alignment horizontal="center" vertical="center" wrapText="1" readingOrder="1"/>
    </xf>
    <xf numFmtId="0" fontId="2" fillId="2" borderId="4" xfId="0" applyFont="1" applyFill="1" applyBorder="1" applyAlignment="1">
      <alignment horizontal="center" vertical="center" wrapText="1" readingOrder="1"/>
    </xf>
    <xf numFmtId="49" fontId="3" fillId="2" borderId="4" xfId="0" applyNumberFormat="1" applyFont="1" applyFill="1" applyBorder="1" applyAlignment="1">
      <alignment vertical="center" wrapText="1"/>
    </xf>
    <xf numFmtId="0" fontId="3" fillId="2" borderId="4" xfId="0" applyFont="1" applyFill="1" applyBorder="1" applyAlignment="1">
      <alignment horizontal="center" vertical="center" wrapText="1" readingOrder="1"/>
    </xf>
    <xf numFmtId="0" fontId="38" fillId="2" borderId="8" xfId="0" applyFont="1" applyFill="1" applyBorder="1" applyAlignment="1">
      <alignment horizontal="center" vertical="center" wrapText="1" readingOrder="1"/>
    </xf>
    <xf numFmtId="0" fontId="38" fillId="2" borderId="9" xfId="0" applyFont="1" applyFill="1" applyBorder="1" applyAlignment="1">
      <alignment horizontal="center" vertical="center" wrapText="1" readingOrder="1"/>
    </xf>
    <xf numFmtId="0" fontId="3" fillId="2" borderId="4" xfId="0" applyFont="1" applyFill="1" applyBorder="1"/>
    <xf numFmtId="0" fontId="38" fillId="2" borderId="17" xfId="0" applyFont="1" applyFill="1" applyBorder="1" applyAlignment="1">
      <alignment horizontal="center" vertical="center" wrapText="1" readingOrder="1"/>
    </xf>
    <xf numFmtId="49" fontId="3" fillId="2" borderId="4" xfId="0" applyNumberFormat="1" applyFont="1" applyFill="1" applyBorder="1" applyAlignment="1">
      <alignment horizontal="center" vertical="center" wrapText="1" readingOrder="1"/>
    </xf>
    <xf numFmtId="49" fontId="3" fillId="2" borderId="4" xfId="0" applyNumberFormat="1" applyFont="1" applyFill="1" applyBorder="1" applyAlignment="1">
      <alignment horizontal="left" vertical="center" wrapText="1"/>
    </xf>
    <xf numFmtId="0" fontId="2" fillId="2" borderId="4" xfId="0" applyFont="1" applyFill="1" applyBorder="1"/>
    <xf numFmtId="0" fontId="0" fillId="2" borderId="4" xfId="0" applyFill="1" applyBorder="1"/>
    <xf numFmtId="0" fontId="39" fillId="2" borderId="4" xfId="0" applyFont="1" applyFill="1" applyBorder="1" applyAlignment="1">
      <alignment horizontal="center" vertical="center"/>
    </xf>
    <xf numFmtId="0" fontId="0" fillId="0" borderId="128" xfId="0" applyBorder="1"/>
    <xf numFmtId="0" fontId="0" fillId="0" borderId="70" xfId="0" applyBorder="1"/>
    <xf numFmtId="0" fontId="0" fillId="2" borderId="70" xfId="0" applyFill="1" applyBorder="1"/>
    <xf numFmtId="0" fontId="0" fillId="2" borderId="72" xfId="0" applyFill="1" applyBorder="1"/>
    <xf numFmtId="0" fontId="39" fillId="6" borderId="4" xfId="0" applyFont="1" applyFill="1" applyBorder="1" applyAlignment="1">
      <alignment vertical="top"/>
    </xf>
    <xf numFmtId="49" fontId="39" fillId="6" borderId="4" xfId="0" applyNumberFormat="1" applyFont="1" applyFill="1" applyBorder="1" applyAlignment="1">
      <alignment vertical="top"/>
    </xf>
    <xf numFmtId="49" fontId="44" fillId="2" borderId="4" xfId="0" applyNumberFormat="1" applyFont="1" applyFill="1" applyBorder="1" applyAlignment="1">
      <alignment horizontal="left" vertical="top"/>
    </xf>
    <xf numFmtId="3" fontId="44" fillId="0" borderId="4" xfId="0" applyNumberFormat="1" applyFont="1" applyBorder="1"/>
    <xf numFmtId="49" fontId="39" fillId="7" borderId="4" xfId="0" applyNumberFormat="1" applyFont="1" applyFill="1" applyBorder="1" applyAlignment="1">
      <alignment horizontal="center" vertical="center"/>
    </xf>
    <xf numFmtId="49" fontId="39" fillId="7" borderId="4" xfId="0" applyNumberFormat="1" applyFont="1" applyFill="1" applyBorder="1" applyAlignment="1">
      <alignment horizontal="center" vertical="top"/>
    </xf>
    <xf numFmtId="0" fontId="39" fillId="7" borderId="4" xfId="0" applyNumberFormat="1" applyFont="1" applyFill="1" applyBorder="1" applyAlignment="1">
      <alignment horizontal="left" vertical="center"/>
    </xf>
    <xf numFmtId="4" fontId="44" fillId="0" borderId="4" xfId="0" applyNumberFormat="1" applyFont="1" applyBorder="1"/>
    <xf numFmtId="0" fontId="39" fillId="9" borderId="4" xfId="0" applyNumberFormat="1" applyFont="1" applyFill="1" applyBorder="1" applyAlignment="1">
      <alignment horizontal="left" vertical="top"/>
    </xf>
    <xf numFmtId="49" fontId="39" fillId="9" borderId="4" xfId="0" applyNumberFormat="1" applyFont="1" applyFill="1" applyBorder="1" applyAlignment="1">
      <alignment horizontal="left" vertical="top"/>
    </xf>
    <xf numFmtId="4" fontId="39" fillId="9" borderId="4" xfId="0" applyNumberFormat="1" applyFont="1" applyFill="1" applyBorder="1" applyAlignment="1">
      <alignment vertical="top"/>
    </xf>
    <xf numFmtId="49" fontId="39" fillId="3" borderId="4" xfId="0" applyNumberFormat="1" applyFont="1" applyFill="1" applyBorder="1" applyAlignment="1">
      <alignment horizontal="left" vertical="top"/>
    </xf>
    <xf numFmtId="4" fontId="39" fillId="3" borderId="4" xfId="0" applyNumberFormat="1" applyFont="1" applyFill="1" applyBorder="1" applyAlignment="1">
      <alignment vertical="top"/>
    </xf>
    <xf numFmtId="4" fontId="39" fillId="3" borderId="4" xfId="0" applyNumberFormat="1" applyFont="1" applyFill="1" applyBorder="1"/>
    <xf numFmtId="4" fontId="44" fillId="5" borderId="4" xfId="0" applyNumberFormat="1" applyFont="1" applyFill="1" applyBorder="1"/>
    <xf numFmtId="4" fontId="39" fillId="7" borderId="4" xfId="0" applyNumberFormat="1" applyFont="1" applyFill="1" applyBorder="1" applyAlignment="1">
      <alignment horizontal="right" vertical="center"/>
    </xf>
    <xf numFmtId="4" fontId="39" fillId="3" borderId="4" xfId="0" applyNumberFormat="1" applyFont="1" applyFill="1" applyBorder="1" applyAlignment="1">
      <alignment horizontal="right" vertical="top"/>
    </xf>
    <xf numFmtId="4" fontId="44" fillId="0" borderId="4" xfId="0" applyNumberFormat="1" applyFont="1" applyBorder="1" applyAlignment="1">
      <alignment horizontal="right"/>
    </xf>
    <xf numFmtId="49" fontId="39" fillId="10" borderId="4" xfId="0" applyNumberFormat="1" applyFont="1" applyFill="1" applyBorder="1" applyAlignment="1">
      <alignment horizontal="left" vertical="top"/>
    </xf>
    <xf numFmtId="4" fontId="39" fillId="10" borderId="4" xfId="0" applyNumberFormat="1" applyFont="1" applyFill="1" applyBorder="1" applyAlignment="1">
      <alignment horizontal="right" vertical="top"/>
    </xf>
    <xf numFmtId="4" fontId="44" fillId="10" borderId="4" xfId="0" applyNumberFormat="1" applyFont="1" applyFill="1" applyBorder="1"/>
    <xf numFmtId="0" fontId="39" fillId="2" borderId="4" xfId="0" applyFont="1" applyFill="1" applyBorder="1" applyAlignment="1">
      <alignment horizontal="left" vertical="top"/>
    </xf>
    <xf numFmtId="0" fontId="39" fillId="5" borderId="5" xfId="0" applyFont="1" applyFill="1" applyBorder="1" applyAlignment="1">
      <alignment horizontal="left" vertical="top"/>
    </xf>
    <xf numFmtId="49" fontId="44" fillId="5" borderId="7" xfId="0" applyNumberFormat="1" applyFont="1" applyFill="1" applyBorder="1" applyAlignment="1">
      <alignment horizontal="left" vertical="top"/>
    </xf>
    <xf numFmtId="4" fontId="44" fillId="5" borderId="4" xfId="0" applyNumberFormat="1" applyFont="1" applyFill="1" applyBorder="1" applyAlignment="1">
      <alignment horizontal="right"/>
    </xf>
    <xf numFmtId="0" fontId="39" fillId="0" borderId="70" xfId="0" applyFont="1" applyBorder="1"/>
    <xf numFmtId="0" fontId="39" fillId="0" borderId="70" xfId="0" applyFont="1" applyBorder="1" applyAlignment="1">
      <alignment horizontal="left"/>
    </xf>
    <xf numFmtId="4" fontId="39" fillId="0" borderId="70" xfId="0" applyNumberFormat="1" applyFont="1" applyBorder="1"/>
    <xf numFmtId="0" fontId="44" fillId="0" borderId="129" xfId="0" applyFont="1" applyBorder="1"/>
    <xf numFmtId="0" fontId="44" fillId="0" borderId="129" xfId="0" applyFont="1" applyBorder="1" applyAlignment="1">
      <alignment horizontal="left"/>
    </xf>
    <xf numFmtId="4" fontId="45" fillId="0" borderId="129" xfId="0" applyNumberFormat="1" applyFont="1" applyBorder="1"/>
    <xf numFmtId="0" fontId="44" fillId="0" borderId="72" xfId="0" applyFont="1" applyBorder="1"/>
    <xf numFmtId="49" fontId="39" fillId="11" borderId="4" xfId="0" applyNumberFormat="1" applyFont="1" applyFill="1" applyBorder="1" applyAlignment="1">
      <alignment vertical="top"/>
    </xf>
    <xf numFmtId="0" fontId="39" fillId="11" borderId="4" xfId="0" applyFont="1" applyFill="1" applyBorder="1" applyAlignment="1">
      <alignment vertical="top"/>
    </xf>
    <xf numFmtId="4" fontId="39" fillId="11" borderId="4" xfId="0" applyNumberFormat="1" applyFont="1" applyFill="1" applyBorder="1" applyAlignment="1">
      <alignment vertical="top"/>
    </xf>
    <xf numFmtId="0" fontId="44" fillId="0" borderId="128" xfId="0" applyFont="1" applyBorder="1"/>
    <xf numFmtId="4" fontId="39" fillId="11" borderId="4" xfId="0" applyNumberFormat="1" applyFont="1" applyFill="1" applyBorder="1" applyAlignment="1">
      <alignment horizontal="right"/>
    </xf>
    <xf numFmtId="49" fontId="44" fillId="10" borderId="4" xfId="0" applyNumberFormat="1" applyFont="1" applyFill="1" applyBorder="1" applyAlignment="1">
      <alignment horizontal="left" vertical="top"/>
    </xf>
    <xf numFmtId="4" fontId="44" fillId="10" borderId="4" xfId="0" applyNumberFormat="1" applyFont="1" applyFill="1" applyBorder="1" applyAlignment="1">
      <alignment horizontal="right"/>
    </xf>
    <xf numFmtId="4" fontId="39" fillId="12" borderId="4" xfId="0" applyNumberFormat="1" applyFont="1" applyFill="1" applyBorder="1"/>
    <xf numFmtId="4" fontId="44" fillId="0" borderId="70" xfId="0" applyNumberFormat="1" applyFont="1" applyBorder="1"/>
    <xf numFmtId="0" fontId="44" fillId="0" borderId="70" xfId="0" applyFont="1" applyBorder="1"/>
    <xf numFmtId="165" fontId="44" fillId="0" borderId="72" xfId="0" applyNumberFormat="1" applyFont="1" applyBorder="1"/>
    <xf numFmtId="166" fontId="44" fillId="0" borderId="72" xfId="0" applyNumberFormat="1" applyFont="1" applyBorder="1"/>
    <xf numFmtId="4" fontId="44" fillId="0" borderId="72" xfId="0" applyNumberFormat="1" applyFont="1" applyBorder="1"/>
    <xf numFmtId="165" fontId="44" fillId="0" borderId="129" xfId="0" applyNumberFormat="1" applyFont="1" applyBorder="1"/>
    <xf numFmtId="165" fontId="39" fillId="0" borderId="117" xfId="0" applyNumberFormat="1" applyFont="1" applyBorder="1"/>
    <xf numFmtId="165" fontId="44" fillId="0" borderId="70" xfId="0" applyNumberFormat="1" applyFont="1" applyBorder="1"/>
    <xf numFmtId="4" fontId="39" fillId="0" borderId="72" xfId="0" applyNumberFormat="1" applyFont="1" applyBorder="1"/>
    <xf numFmtId="49" fontId="3" fillId="0" borderId="4" xfId="0" applyNumberFormat="1" applyFont="1" applyFill="1" applyBorder="1" applyAlignment="1">
      <alignment vertical="center" wrapText="1"/>
    </xf>
    <xf numFmtId="49" fontId="3" fillId="0" borderId="4" xfId="0" applyNumberFormat="1" applyFont="1" applyFill="1" applyBorder="1" applyAlignment="1">
      <alignment horizontal="center" vertical="center" wrapText="1"/>
    </xf>
    <xf numFmtId="0" fontId="38" fillId="0" borderId="9" xfId="0" applyFont="1" applyFill="1" applyBorder="1" applyAlignment="1">
      <alignment horizontal="center" vertical="center" wrapText="1" readingOrder="1"/>
    </xf>
    <xf numFmtId="0" fontId="0" fillId="0" borderId="9" xfId="0" applyFill="1" applyBorder="1"/>
    <xf numFmtId="0" fontId="38" fillId="0" borderId="17" xfId="0" applyFont="1" applyFill="1" applyBorder="1" applyAlignment="1">
      <alignment horizontal="center" vertical="center" wrapText="1" readingOrder="1"/>
    </xf>
    <xf numFmtId="0" fontId="0" fillId="0" borderId="0" xfId="0" applyNumberFormat="1" applyFill="1"/>
    <xf numFmtId="49" fontId="3" fillId="0" borderId="4" xfId="0" applyNumberFormat="1" applyFont="1" applyFill="1" applyBorder="1" applyAlignment="1">
      <alignment horizontal="left" vertical="center" wrapText="1"/>
    </xf>
    <xf numFmtId="0" fontId="0" fillId="0" borderId="17" xfId="0" applyFill="1" applyBorder="1"/>
    <xf numFmtId="49" fontId="3" fillId="0" borderId="4" xfId="0" applyNumberFormat="1" applyFont="1" applyFill="1" applyBorder="1" applyAlignment="1">
      <alignment wrapText="1"/>
    </xf>
    <xf numFmtId="49" fontId="3" fillId="0" borderId="7" xfId="0" applyNumberFormat="1" applyFont="1" applyFill="1" applyBorder="1" applyAlignment="1">
      <alignment vertical="center" wrapText="1"/>
    </xf>
    <xf numFmtId="0" fontId="0" fillId="0" borderId="91" xfId="0" applyFill="1" applyBorder="1"/>
    <xf numFmtId="0" fontId="46" fillId="2" borderId="91" xfId="0" applyFont="1" applyFill="1" applyBorder="1" applyAlignment="1">
      <alignment horizontal="left"/>
    </xf>
    <xf numFmtId="0" fontId="38" fillId="2" borderId="91" xfId="0" applyFont="1" applyFill="1" applyBorder="1" applyAlignment="1">
      <alignment horizontal="center" vertical="center" wrapText="1" readingOrder="1"/>
    </xf>
    <xf numFmtId="0" fontId="0" fillId="2" borderId="91" xfId="0" applyFill="1" applyBorder="1"/>
    <xf numFmtId="0" fontId="46" fillId="2" borderId="17" xfId="0" applyFont="1" applyFill="1" applyBorder="1" applyAlignment="1">
      <alignment horizontal="left"/>
    </xf>
    <xf numFmtId="0" fontId="0" fillId="0" borderId="91" xfId="0" applyFill="1" applyBorder="1" applyAlignment="1">
      <alignment horizontal="left"/>
    </xf>
    <xf numFmtId="0" fontId="3" fillId="2" borderId="5" xfId="0" applyFont="1" applyFill="1" applyBorder="1"/>
    <xf numFmtId="0" fontId="46" fillId="2" borderId="91" xfId="0" applyFont="1" applyFill="1" applyBorder="1"/>
    <xf numFmtId="0" fontId="46" fillId="0" borderId="91" xfId="0" applyFont="1" applyFill="1" applyBorder="1" applyAlignment="1">
      <alignment horizontal="left"/>
    </xf>
    <xf numFmtId="0" fontId="46" fillId="0" borderId="91" xfId="0" applyFont="1" applyFill="1" applyBorder="1" applyAlignment="1">
      <alignment horizontal="left" vertical="center"/>
    </xf>
    <xf numFmtId="0" fontId="46" fillId="0" borderId="17" xfId="0" applyFont="1" applyFill="1" applyBorder="1" applyAlignment="1">
      <alignment horizontal="left" vertical="center"/>
    </xf>
    <xf numFmtId="0" fontId="2" fillId="2" borderId="5" xfId="0" applyFont="1" applyFill="1" applyBorder="1" applyAlignment="1">
      <alignment horizontal="center" vertical="center"/>
    </xf>
    <xf numFmtId="0" fontId="3" fillId="2" borderId="2" xfId="0" applyFont="1" applyFill="1" applyBorder="1" applyAlignment="1">
      <alignment horizontal="left"/>
    </xf>
    <xf numFmtId="0" fontId="3" fillId="2" borderId="9" xfId="0" applyFont="1" applyFill="1" applyBorder="1" applyAlignment="1">
      <alignment horizontal="left"/>
    </xf>
    <xf numFmtId="0" fontId="2" fillId="2" borderId="131" xfId="0" applyFont="1" applyFill="1" applyBorder="1" applyAlignment="1">
      <alignment horizontal="left" vertical="center" wrapText="1" readingOrder="1"/>
    </xf>
    <xf numFmtId="0" fontId="44" fillId="0" borderId="0" xfId="0" applyNumberFormat="1" applyFont="1" applyAlignment="1">
      <alignment horizontal="left"/>
    </xf>
    <xf numFmtId="0" fontId="44" fillId="2" borderId="131" xfId="0" applyFont="1" applyFill="1" applyBorder="1" applyAlignment="1">
      <alignment horizontal="left" vertical="center" wrapText="1"/>
    </xf>
    <xf numFmtId="49" fontId="3" fillId="13" borderId="4" xfId="0" applyNumberFormat="1" applyFont="1" applyFill="1" applyBorder="1" applyAlignment="1">
      <alignment horizontal="left" vertical="center" wrapText="1"/>
    </xf>
    <xf numFmtId="0" fontId="3" fillId="2" borderId="89" xfId="0" applyFont="1" applyFill="1" applyBorder="1"/>
    <xf numFmtId="0" fontId="3" fillId="2" borderId="91" xfId="0" applyFont="1" applyFill="1" applyBorder="1"/>
    <xf numFmtId="0" fontId="2" fillId="2" borderId="5" xfId="0" applyFont="1" applyFill="1" applyBorder="1" applyAlignment="1">
      <alignment horizontal="center" vertical="center" wrapText="1" readingOrder="1"/>
    </xf>
    <xf numFmtId="0" fontId="2" fillId="2" borderId="5" xfId="0" applyFont="1" applyFill="1" applyBorder="1"/>
    <xf numFmtId="0" fontId="39" fillId="2" borderId="5" xfId="0" applyFont="1" applyFill="1" applyBorder="1" applyAlignment="1">
      <alignment horizontal="center" vertical="center"/>
    </xf>
    <xf numFmtId="0" fontId="44" fillId="2" borderId="132" xfId="0" applyFont="1" applyFill="1" applyBorder="1" applyAlignment="1">
      <alignment horizontal="left" vertical="center"/>
    </xf>
    <xf numFmtId="0" fontId="44" fillId="2" borderId="132" xfId="0" applyFont="1" applyFill="1" applyBorder="1" applyAlignment="1">
      <alignment horizontal="left" vertical="center" wrapText="1"/>
    </xf>
    <xf numFmtId="0" fontId="2" fillId="2" borderId="10" xfId="0" applyFont="1" applyFill="1" applyBorder="1" applyAlignment="1">
      <alignment horizontal="left" vertical="center" wrapText="1" readingOrder="1"/>
    </xf>
    <xf numFmtId="0" fontId="2" fillId="2" borderId="132" xfId="0" applyFont="1" applyFill="1" applyBorder="1" applyAlignment="1">
      <alignment horizontal="left" vertical="center" wrapText="1" readingOrder="1"/>
    </xf>
    <xf numFmtId="0" fontId="44" fillId="2" borderId="132" xfId="0" applyFont="1" applyFill="1" applyBorder="1" applyAlignment="1">
      <alignment horizontal="left" vertical="center" wrapText="1" readingOrder="1"/>
    </xf>
    <xf numFmtId="0" fontId="44" fillId="2" borderId="132" xfId="0" applyFont="1" applyFill="1" applyBorder="1" applyAlignment="1">
      <alignment horizontal="left" wrapText="1"/>
    </xf>
    <xf numFmtId="0" fontId="44" fillId="0" borderId="132" xfId="0" applyFont="1" applyFill="1" applyBorder="1" applyAlignment="1">
      <alignment horizontal="left" wrapText="1"/>
    </xf>
    <xf numFmtId="0" fontId="44" fillId="0" borderId="132" xfId="0" applyFont="1" applyFill="1" applyBorder="1" applyAlignment="1">
      <alignment horizontal="left" vertical="center" wrapText="1"/>
    </xf>
    <xf numFmtId="0" fontId="44" fillId="0" borderId="91" xfId="0" applyNumberFormat="1" applyFont="1" applyBorder="1" applyAlignment="1">
      <alignment horizontal="left"/>
    </xf>
    <xf numFmtId="49" fontId="2" fillId="2" borderId="120" xfId="0" applyNumberFormat="1" applyFont="1" applyFill="1" applyBorder="1" applyAlignment="1">
      <alignment horizontal="center" vertical="center" wrapText="1" readingOrder="1"/>
    </xf>
    <xf numFmtId="0" fontId="2" fillId="2" borderId="131" xfId="0" applyFont="1" applyFill="1" applyBorder="1" applyAlignment="1">
      <alignment horizontal="center" vertical="center" wrapText="1" readingOrder="1"/>
    </xf>
    <xf numFmtId="0" fontId="0" fillId="0" borderId="131" xfId="0" applyNumberFormat="1" applyBorder="1"/>
    <xf numFmtId="0" fontId="3" fillId="2" borderId="131" xfId="0" applyFont="1" applyFill="1" applyBorder="1"/>
    <xf numFmtId="0" fontId="3" fillId="13" borderId="131" xfId="0" applyFont="1" applyFill="1" applyBorder="1"/>
    <xf numFmtId="0" fontId="2" fillId="2" borderId="131" xfId="0" applyNumberFormat="1" applyFont="1" applyFill="1" applyBorder="1" applyAlignment="1">
      <alignment horizontal="center" vertical="center" wrapText="1" readingOrder="1"/>
    </xf>
    <xf numFmtId="0" fontId="2" fillId="0" borderId="131" xfId="0" applyNumberFormat="1" applyFont="1" applyFill="1" applyBorder="1" applyAlignment="1">
      <alignment horizontal="center" vertical="center" wrapText="1" readingOrder="1"/>
    </xf>
    <xf numFmtId="0" fontId="2" fillId="0" borderId="131" xfId="0" applyFont="1" applyFill="1" applyBorder="1" applyAlignment="1">
      <alignment horizontal="center" vertical="center" wrapText="1" readingOrder="1"/>
    </xf>
    <xf numFmtId="0" fontId="2" fillId="0" borderId="131" xfId="0" applyFont="1" applyFill="1" applyBorder="1" applyAlignment="1">
      <alignment horizontal="center" vertical="center"/>
    </xf>
    <xf numFmtId="0" fontId="2" fillId="2" borderId="131" xfId="0" applyFont="1" applyFill="1" applyBorder="1" applyAlignment="1">
      <alignment horizontal="center" vertical="center"/>
    </xf>
    <xf numFmtId="0" fontId="3" fillId="0" borderId="131" xfId="0" applyFont="1" applyFill="1" applyBorder="1"/>
    <xf numFmtId="0" fontId="2" fillId="2" borderId="131" xfId="0" applyFont="1" applyFill="1" applyBorder="1"/>
    <xf numFmtId="0" fontId="2" fillId="2" borderId="131" xfId="0" applyNumberFormat="1" applyFont="1" applyFill="1" applyBorder="1" applyAlignment="1">
      <alignment horizontal="center" vertical="center"/>
    </xf>
    <xf numFmtId="0" fontId="0" fillId="2" borderId="131" xfId="0" applyFill="1" applyBorder="1"/>
    <xf numFmtId="49" fontId="2" fillId="2" borderId="88" xfId="0" applyNumberFormat="1" applyFont="1" applyFill="1" applyBorder="1" applyAlignment="1">
      <alignment horizontal="center" vertical="center" wrapText="1" readingOrder="1"/>
    </xf>
    <xf numFmtId="0" fontId="2" fillId="2" borderId="134" xfId="0" applyFont="1" applyFill="1" applyBorder="1" applyAlignment="1">
      <alignment horizontal="center" vertical="center" wrapText="1" readingOrder="1"/>
    </xf>
    <xf numFmtId="0" fontId="0" fillId="0" borderId="134" xfId="0" applyNumberFormat="1" applyBorder="1"/>
    <xf numFmtId="0" fontId="3" fillId="2" borderId="134" xfId="0" applyFont="1" applyFill="1" applyBorder="1"/>
    <xf numFmtId="0" fontId="2" fillId="2" borderId="134" xfId="0" applyFont="1" applyFill="1" applyBorder="1" applyAlignment="1">
      <alignment horizontal="center" vertical="center"/>
    </xf>
    <xf numFmtId="0" fontId="2" fillId="0" borderId="134" xfId="0" applyFont="1" applyFill="1" applyBorder="1" applyAlignment="1">
      <alignment horizontal="center" vertical="center"/>
    </xf>
    <xf numFmtId="0" fontId="3" fillId="0" borderId="134" xfId="0" applyFont="1" applyFill="1" applyBorder="1"/>
    <xf numFmtId="0" fontId="2" fillId="2" borderId="134" xfId="0" applyFont="1" applyFill="1" applyBorder="1" applyAlignment="1">
      <alignment vertical="center"/>
    </xf>
    <xf numFmtId="0" fontId="3" fillId="2" borderId="134" xfId="0" applyFont="1" applyFill="1" applyBorder="1" applyAlignment="1">
      <alignment vertical="center"/>
    </xf>
    <xf numFmtId="0" fontId="0" fillId="0" borderId="131" xfId="0" applyNumberFormat="1" applyFill="1" applyBorder="1"/>
    <xf numFmtId="0" fontId="3" fillId="2" borderId="91" xfId="0" applyFont="1" applyFill="1" applyBorder="1" applyAlignment="1">
      <alignment horizontal="left"/>
    </xf>
    <xf numFmtId="0" fontId="0" fillId="0" borderId="134" xfId="0" applyNumberFormat="1" applyFill="1" applyBorder="1"/>
    <xf numFmtId="0" fontId="3" fillId="0" borderId="4" xfId="0" applyFont="1" applyFill="1" applyBorder="1"/>
    <xf numFmtId="0" fontId="2" fillId="0" borderId="4" xfId="0" applyFont="1" applyFill="1" applyBorder="1" applyAlignment="1">
      <alignment horizontal="center" vertical="center" wrapText="1" readingOrder="1"/>
    </xf>
    <xf numFmtId="0" fontId="3" fillId="0" borderId="5" xfId="0" applyFont="1" applyFill="1" applyBorder="1"/>
    <xf numFmtId="0" fontId="44" fillId="0" borderId="132" xfId="0" applyFont="1" applyFill="1" applyBorder="1" applyAlignment="1">
      <alignment horizontal="left" vertical="center"/>
    </xf>
    <xf numFmtId="0" fontId="46" fillId="0" borderId="91" xfId="0" applyFont="1" applyFill="1" applyBorder="1"/>
    <xf numFmtId="0" fontId="44" fillId="0" borderId="91" xfId="0" applyFont="1" applyFill="1" applyBorder="1" applyAlignment="1">
      <alignment horizontal="left" vertical="center"/>
    </xf>
    <xf numFmtId="0" fontId="46" fillId="0" borderId="8" xfId="0" applyFont="1" applyFill="1" applyBorder="1"/>
    <xf numFmtId="0" fontId="47" fillId="0" borderId="10" xfId="0" applyFont="1" applyFill="1" applyBorder="1" applyAlignment="1">
      <alignment horizontal="left" vertical="center" wrapText="1" readingOrder="1"/>
    </xf>
    <xf numFmtId="0" fontId="2" fillId="0" borderId="132" xfId="0" applyFont="1" applyFill="1" applyBorder="1" applyAlignment="1">
      <alignment horizontal="left" vertical="center" wrapText="1" readingOrder="1"/>
    </xf>
    <xf numFmtId="49" fontId="3" fillId="0" borderId="4" xfId="0" applyNumberFormat="1" applyFont="1" applyFill="1" applyBorder="1" applyAlignment="1">
      <alignment horizontal="center" vertical="center" wrapText="1" readingOrder="1"/>
    </xf>
    <xf numFmtId="0" fontId="0" fillId="0" borderId="91" xfId="0" applyFill="1" applyBorder="1" applyAlignment="1">
      <alignment horizontal="center"/>
    </xf>
    <xf numFmtId="0" fontId="2" fillId="0" borderId="131" xfId="0" applyNumberFormat="1" applyFont="1" applyFill="1" applyBorder="1" applyAlignment="1">
      <alignment horizontal="center"/>
    </xf>
    <xf numFmtId="0" fontId="38" fillId="0" borderId="91" xfId="0" applyFont="1" applyFill="1" applyBorder="1" applyAlignment="1">
      <alignment horizontal="center" vertical="center" wrapText="1" readingOrder="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34" xfId="0" applyFont="1" applyFill="1" applyBorder="1" applyAlignment="1">
      <alignment vertical="center"/>
    </xf>
    <xf numFmtId="0" fontId="3" fillId="0" borderId="134" xfId="0" applyFont="1" applyFill="1" applyBorder="1" applyAlignment="1">
      <alignment vertical="center"/>
    </xf>
    <xf numFmtId="0" fontId="2" fillId="0" borderId="131" xfId="0" applyNumberFormat="1" applyFont="1" applyFill="1" applyBorder="1" applyAlignment="1">
      <alignment horizontal="center" vertical="center"/>
    </xf>
    <xf numFmtId="0" fontId="2" fillId="0" borderId="134" xfId="0" applyNumberFormat="1" applyFont="1" applyFill="1" applyBorder="1" applyAlignment="1">
      <alignment horizontal="center" vertical="center"/>
    </xf>
    <xf numFmtId="0" fontId="2" fillId="0" borderId="131" xfId="0" applyFont="1" applyFill="1" applyBorder="1"/>
    <xf numFmtId="0" fontId="0" fillId="0" borderId="91" xfId="0" applyNumberFormat="1" applyBorder="1"/>
    <xf numFmtId="49" fontId="43" fillId="2" borderId="131" xfId="0" applyNumberFormat="1" applyFont="1" applyFill="1" applyBorder="1" applyAlignment="1">
      <alignment horizontal="center" vertical="center" wrapText="1"/>
    </xf>
    <xf numFmtId="49" fontId="44" fillId="14" borderId="4" xfId="0" applyNumberFormat="1" applyFont="1" applyFill="1" applyBorder="1" applyAlignment="1">
      <alignment horizontal="left" vertical="top"/>
    </xf>
    <xf numFmtId="0" fontId="39" fillId="7" borderId="120" xfId="0" applyFont="1" applyFill="1" applyBorder="1" applyAlignment="1">
      <alignment horizontal="center" vertical="center"/>
    </xf>
    <xf numFmtId="0" fontId="39" fillId="7" borderId="120" xfId="0" applyFont="1" applyFill="1" applyBorder="1" applyAlignment="1">
      <alignment horizontal="center" vertical="top"/>
    </xf>
    <xf numFmtId="0" fontId="39" fillId="7" borderId="122" xfId="0" applyNumberFormat="1" applyFont="1" applyFill="1" applyBorder="1" applyAlignment="1">
      <alignment horizontal="left" vertical="center"/>
    </xf>
    <xf numFmtId="4" fontId="39" fillId="7" borderId="122" xfId="0" applyNumberFormat="1" applyFont="1" applyFill="1" applyBorder="1" applyAlignment="1">
      <alignment vertical="center"/>
    </xf>
    <xf numFmtId="0" fontId="39" fillId="7" borderId="131" xfId="0" applyNumberFormat="1" applyFont="1" applyFill="1" applyBorder="1" applyAlignment="1">
      <alignment horizontal="left" vertical="center"/>
    </xf>
    <xf numFmtId="4" fontId="39" fillId="7" borderId="131" xfId="0" applyNumberFormat="1" applyFont="1" applyFill="1" applyBorder="1" applyAlignment="1">
      <alignment vertical="top"/>
    </xf>
    <xf numFmtId="49" fontId="44" fillId="16" borderId="131" xfId="0" applyNumberFormat="1" applyFont="1" applyFill="1" applyBorder="1" applyAlignment="1">
      <alignment horizontal="left" vertical="top"/>
    </xf>
    <xf numFmtId="4" fontId="39" fillId="8" borderId="131" xfId="0" applyNumberFormat="1" applyFont="1" applyFill="1" applyBorder="1"/>
    <xf numFmtId="49" fontId="44" fillId="2" borderId="131" xfId="0" applyNumberFormat="1" applyFont="1" applyFill="1" applyBorder="1" applyAlignment="1">
      <alignment horizontal="left" vertical="top"/>
    </xf>
    <xf numFmtId="4" fontId="44" fillId="0" borderId="131" xfId="0" applyNumberFormat="1" applyFont="1" applyBorder="1"/>
    <xf numFmtId="164" fontId="51" fillId="0" borderId="131" xfId="0" applyNumberFormat="1" applyFont="1" applyBorder="1" applyAlignment="1">
      <alignment horizontal="right"/>
    </xf>
    <xf numFmtId="0" fontId="39" fillId="8" borderId="131" xfId="0" applyFont="1" applyFill="1" applyBorder="1" applyAlignment="1">
      <alignment vertical="top"/>
    </xf>
    <xf numFmtId="4" fontId="39" fillId="16" borderId="131" xfId="0" applyNumberFormat="1" applyFont="1" applyFill="1" applyBorder="1"/>
    <xf numFmtId="164" fontId="51" fillId="0" borderId="131" xfId="0" applyNumberFormat="1" applyFont="1" applyFill="1" applyBorder="1" applyAlignment="1">
      <alignment horizontal="right"/>
    </xf>
    <xf numFmtId="4" fontId="39" fillId="0" borderId="131" xfId="0" applyNumberFormat="1" applyFont="1" applyFill="1" applyBorder="1"/>
    <xf numFmtId="0" fontId="44" fillId="2" borderId="131" xfId="0" applyFont="1" applyFill="1" applyBorder="1" applyAlignment="1">
      <alignment horizontal="left" vertical="top"/>
    </xf>
    <xf numFmtId="4" fontId="44" fillId="17" borderId="4" xfId="0" applyNumberFormat="1" applyFont="1" applyFill="1" applyBorder="1" applyAlignment="1">
      <alignment horizontal="right"/>
    </xf>
    <xf numFmtId="49" fontId="39" fillId="7" borderId="5" xfId="0" applyNumberFormat="1" applyFont="1" applyFill="1" applyBorder="1" applyAlignment="1">
      <alignment horizontal="left" vertical="center"/>
    </xf>
    <xf numFmtId="4" fontId="44" fillId="0" borderId="131" xfId="0" applyNumberFormat="1" applyFont="1" applyFill="1" applyBorder="1"/>
    <xf numFmtId="49" fontId="44" fillId="0" borderId="4" xfId="0" applyNumberFormat="1" applyFont="1" applyFill="1" applyBorder="1" applyAlignment="1">
      <alignment horizontal="left" vertical="top"/>
    </xf>
    <xf numFmtId="0" fontId="44" fillId="0" borderId="0" xfId="0" applyNumberFormat="1" applyFont="1"/>
    <xf numFmtId="0" fontId="44" fillId="0" borderId="130" xfId="0" applyFont="1" applyBorder="1"/>
    <xf numFmtId="9" fontId="44" fillId="0" borderId="72" xfId="1" applyFont="1" applyBorder="1"/>
    <xf numFmtId="168" fontId="44" fillId="0" borderId="72" xfId="1" applyNumberFormat="1" applyFont="1" applyBorder="1"/>
    <xf numFmtId="43" fontId="44" fillId="0" borderId="72" xfId="2" applyFont="1" applyBorder="1"/>
    <xf numFmtId="43" fontId="44" fillId="0" borderId="72" xfId="0" applyNumberFormat="1" applyFont="1" applyBorder="1"/>
    <xf numFmtId="164" fontId="51" fillId="15" borderId="131" xfId="0" applyNumberFormat="1" applyFont="1" applyFill="1" applyBorder="1" applyAlignment="1">
      <alignment horizontal="right"/>
    </xf>
    <xf numFmtId="49" fontId="44" fillId="2" borderId="5" xfId="0" applyNumberFormat="1" applyFont="1" applyFill="1" applyBorder="1" applyAlignment="1">
      <alignment horizontal="left" vertical="top"/>
    </xf>
    <xf numFmtId="4" fontId="44" fillId="0" borderId="7" xfId="0" applyNumberFormat="1" applyFont="1" applyBorder="1"/>
    <xf numFmtId="49" fontId="39" fillId="3" borderId="5" xfId="0" applyNumberFormat="1" applyFont="1" applyFill="1" applyBorder="1" applyAlignment="1">
      <alignment horizontal="left" vertical="top"/>
    </xf>
    <xf numFmtId="4" fontId="39" fillId="3" borderId="7" xfId="0" applyNumberFormat="1" applyFont="1" applyFill="1" applyBorder="1" applyAlignment="1">
      <alignment vertical="top"/>
    </xf>
    <xf numFmtId="4" fontId="39" fillId="3" borderId="131" xfId="0" applyNumberFormat="1" applyFont="1" applyFill="1" applyBorder="1" applyAlignment="1">
      <alignment vertical="top"/>
    </xf>
    <xf numFmtId="49" fontId="39" fillId="7" borderId="5" xfId="0" applyNumberFormat="1" applyFont="1" applyFill="1" applyBorder="1" applyAlignment="1">
      <alignment horizontal="center"/>
    </xf>
    <xf numFmtId="49" fontId="39" fillId="7" borderId="88" xfId="0" applyNumberFormat="1" applyFont="1" applyFill="1" applyBorder="1" applyAlignment="1">
      <alignment horizontal="left"/>
    </xf>
    <xf numFmtId="49" fontId="39" fillId="7" borderId="134" xfId="0" applyNumberFormat="1" applyFont="1" applyFill="1" applyBorder="1"/>
    <xf numFmtId="49" fontId="39" fillId="8" borderId="134" xfId="0" applyNumberFormat="1" applyFont="1" applyFill="1" applyBorder="1" applyAlignment="1">
      <alignment vertical="top"/>
    </xf>
    <xf numFmtId="49" fontId="44" fillId="2" borderId="134" xfId="0" applyNumberFormat="1" applyFont="1" applyFill="1" applyBorder="1" applyAlignment="1">
      <alignment horizontal="left" vertical="top"/>
    </xf>
    <xf numFmtId="0" fontId="39" fillId="8" borderId="134" xfId="0" applyFont="1" applyFill="1" applyBorder="1" applyAlignment="1">
      <alignment vertical="top"/>
    </xf>
    <xf numFmtId="49" fontId="50" fillId="8" borderId="134" xfId="0" applyNumberFormat="1" applyFont="1" applyFill="1" applyBorder="1" applyAlignment="1">
      <alignment vertical="top"/>
    </xf>
    <xf numFmtId="49" fontId="44" fillId="16" borderId="134" xfId="0" applyNumberFormat="1" applyFont="1" applyFill="1" applyBorder="1" applyAlignment="1">
      <alignment horizontal="left" vertical="top"/>
    </xf>
    <xf numFmtId="49" fontId="39" fillId="7" borderId="11" xfId="0" applyNumberFormat="1" applyFont="1" applyFill="1" applyBorder="1"/>
    <xf numFmtId="49" fontId="39" fillId="9" borderId="5" xfId="0" applyNumberFormat="1" applyFont="1" applyFill="1" applyBorder="1" applyAlignment="1">
      <alignment horizontal="left" vertical="top"/>
    </xf>
    <xf numFmtId="49" fontId="44" fillId="0" borderId="5" xfId="0" applyNumberFormat="1" applyFont="1" applyFill="1" applyBorder="1" applyAlignment="1">
      <alignment horizontal="left" vertical="top"/>
    </xf>
    <xf numFmtId="0" fontId="39" fillId="10" borderId="5" xfId="0" applyFont="1" applyFill="1" applyBorder="1" applyAlignment="1">
      <alignment horizontal="left" vertical="top"/>
    </xf>
    <xf numFmtId="49" fontId="39" fillId="7" borderId="7" xfId="0" applyNumberFormat="1" applyFont="1" applyFill="1" applyBorder="1" applyAlignment="1">
      <alignment horizontal="center" vertical="top"/>
    </xf>
    <xf numFmtId="4" fontId="39" fillId="7" borderId="3" xfId="0" applyNumberFormat="1" applyFont="1" applyFill="1" applyBorder="1" applyAlignment="1">
      <alignment vertical="top"/>
    </xf>
    <xf numFmtId="4" fontId="39" fillId="7" borderId="132" xfId="0" applyNumberFormat="1" applyFont="1" applyFill="1" applyBorder="1" applyAlignment="1">
      <alignment vertical="top"/>
    </xf>
    <xf numFmtId="4" fontId="39" fillId="8" borderId="132" xfId="0" applyNumberFormat="1" applyFont="1" applyFill="1" applyBorder="1"/>
    <xf numFmtId="4" fontId="44" fillId="0" borderId="132" xfId="0" applyNumberFormat="1" applyFont="1" applyBorder="1"/>
    <xf numFmtId="4" fontId="39" fillId="16" borderId="132" xfId="0" applyNumberFormat="1" applyFont="1" applyFill="1" applyBorder="1"/>
    <xf numFmtId="4" fontId="39" fillId="7" borderId="13" xfId="0" applyNumberFormat="1" applyFont="1" applyFill="1" applyBorder="1" applyAlignment="1">
      <alignment vertical="center"/>
    </xf>
    <xf numFmtId="4" fontId="39" fillId="9" borderId="7" xfId="0" applyNumberFormat="1" applyFont="1" applyFill="1" applyBorder="1" applyAlignment="1">
      <alignment vertical="top"/>
    </xf>
    <xf numFmtId="4" fontId="39" fillId="7" borderId="7" xfId="0" applyNumberFormat="1" applyFont="1" applyFill="1" applyBorder="1" applyAlignment="1">
      <alignment horizontal="right" vertical="center"/>
    </xf>
    <xf numFmtId="4" fontId="39" fillId="3" borderId="7" xfId="0" applyNumberFormat="1" applyFont="1" applyFill="1" applyBorder="1" applyAlignment="1">
      <alignment horizontal="right" vertical="top"/>
    </xf>
    <xf numFmtId="4" fontId="44" fillId="0" borderId="7" xfId="0" applyNumberFormat="1" applyFont="1" applyFill="1" applyBorder="1" applyAlignment="1">
      <alignment horizontal="right" vertical="top"/>
    </xf>
    <xf numFmtId="4" fontId="44" fillId="0" borderId="7" xfId="0" applyNumberFormat="1" applyFont="1" applyBorder="1" applyAlignment="1">
      <alignment horizontal="right"/>
    </xf>
    <xf numFmtId="4" fontId="39" fillId="10" borderId="7" xfId="0" applyNumberFormat="1" applyFont="1" applyFill="1" applyBorder="1" applyAlignment="1">
      <alignment horizontal="right" vertical="top"/>
    </xf>
    <xf numFmtId="0" fontId="44" fillId="0" borderId="74" xfId="0" applyFont="1" applyBorder="1"/>
    <xf numFmtId="4" fontId="44" fillId="17" borderId="122" xfId="0" applyNumberFormat="1" applyFont="1" applyFill="1" applyBorder="1"/>
    <xf numFmtId="49" fontId="39" fillId="7" borderId="131" xfId="0" applyNumberFormat="1" applyFont="1" applyFill="1" applyBorder="1" applyAlignment="1">
      <alignment horizontal="center" vertical="top"/>
    </xf>
    <xf numFmtId="4" fontId="39" fillId="7" borderId="131" xfId="0" applyNumberFormat="1" applyFont="1" applyFill="1" applyBorder="1" applyAlignment="1">
      <alignment vertical="center"/>
    </xf>
    <xf numFmtId="4" fontId="39" fillId="9" borderId="131" xfId="0" applyNumberFormat="1" applyFont="1" applyFill="1" applyBorder="1" applyAlignment="1">
      <alignment vertical="top"/>
    </xf>
    <xf numFmtId="4" fontId="39" fillId="7" borderId="131" xfId="0" applyNumberFormat="1" applyFont="1" applyFill="1" applyBorder="1" applyAlignment="1">
      <alignment horizontal="right" vertical="center"/>
    </xf>
    <xf numFmtId="4" fontId="39" fillId="3" borderId="131" xfId="0" applyNumberFormat="1" applyFont="1" applyFill="1" applyBorder="1" applyAlignment="1">
      <alignment horizontal="right" vertical="top"/>
    </xf>
    <xf numFmtId="4" fontId="39" fillId="0" borderId="131" xfId="0" applyNumberFormat="1" applyFont="1" applyFill="1" applyBorder="1" applyAlignment="1">
      <alignment horizontal="right" vertical="top"/>
    </xf>
    <xf numFmtId="4" fontId="44" fillId="0" borderId="131" xfId="0" applyNumberFormat="1" applyFont="1" applyBorder="1" applyAlignment="1">
      <alignment horizontal="right"/>
    </xf>
    <xf numFmtId="4" fontId="39" fillId="10" borderId="131" xfId="0" applyNumberFormat="1" applyFont="1" applyFill="1" applyBorder="1" applyAlignment="1">
      <alignment horizontal="right" vertical="top"/>
    </xf>
    <xf numFmtId="4" fontId="54" fillId="0" borderId="131" xfId="0" applyNumberFormat="1" applyFont="1" applyBorder="1"/>
    <xf numFmtId="4" fontId="44" fillId="0" borderId="128" xfId="0" applyNumberFormat="1" applyFont="1" applyBorder="1"/>
    <xf numFmtId="4" fontId="39" fillId="14" borderId="131" xfId="0" applyNumberFormat="1" applyFont="1" applyFill="1" applyBorder="1" applyAlignment="1">
      <alignment vertical="top"/>
    </xf>
    <xf numFmtId="49" fontId="40" fillId="0" borderId="4" xfId="0" applyNumberFormat="1" applyFont="1" applyBorder="1" applyAlignment="1">
      <alignment horizontal="center"/>
    </xf>
    <xf numFmtId="0" fontId="40" fillId="0" borderId="4" xfId="0" applyFont="1" applyBorder="1" applyAlignment="1">
      <alignment horizontal="center"/>
    </xf>
    <xf numFmtId="49" fontId="37" fillId="3" borderId="4" xfId="0" applyNumberFormat="1" applyFont="1" applyFill="1" applyBorder="1" applyAlignment="1">
      <alignment horizontal="center" vertical="center"/>
    </xf>
    <xf numFmtId="0" fontId="37" fillId="3" borderId="4" xfId="0" applyFont="1" applyFill="1" applyBorder="1" applyAlignment="1">
      <alignment horizontal="center" vertical="center"/>
    </xf>
    <xf numFmtId="49" fontId="4"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4" xfId="0" applyNumberFormat="1" applyFont="1" applyFill="1" applyBorder="1" applyAlignment="1">
      <alignment horizontal="center" vertical="center"/>
    </xf>
    <xf numFmtId="0" fontId="4" fillId="2" borderId="4" xfId="0" applyFont="1" applyFill="1" applyBorder="1" applyAlignment="1">
      <alignment horizontal="center" vertical="center"/>
    </xf>
    <xf numFmtId="49" fontId="37" fillId="2" borderId="4" xfId="0" applyNumberFormat="1" applyFont="1" applyFill="1" applyBorder="1" applyAlignment="1">
      <alignment horizontal="center" vertical="center"/>
    </xf>
    <xf numFmtId="0" fontId="37" fillId="2" borderId="4" xfId="0" applyFont="1" applyFill="1" applyBorder="1" applyAlignment="1">
      <alignment horizontal="center" vertical="center"/>
    </xf>
    <xf numFmtId="49" fontId="1" fillId="2" borderId="1" xfId="0" applyNumberFormat="1"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8" xfId="0" applyFont="1" applyFill="1" applyBorder="1" applyAlignment="1">
      <alignment horizont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1" fillId="2" borderId="12" xfId="0" applyFont="1" applyFill="1" applyBorder="1" applyAlignment="1">
      <alignment horizontal="center" wrapText="1"/>
    </xf>
    <xf numFmtId="0" fontId="1" fillId="2" borderId="13" xfId="0" applyFont="1" applyFill="1" applyBorder="1" applyAlignment="1">
      <alignment horizontal="center" wrapText="1"/>
    </xf>
    <xf numFmtId="49" fontId="2" fillId="3" borderId="4" xfId="0" applyNumberFormat="1" applyFont="1" applyFill="1" applyBorder="1" applyAlignment="1">
      <alignment horizontal="center"/>
    </xf>
    <xf numFmtId="0" fontId="2" fillId="3" borderId="4" xfId="0" applyFont="1" applyFill="1" applyBorder="1" applyAlignment="1">
      <alignment horizontal="center"/>
    </xf>
    <xf numFmtId="49" fontId="3" fillId="2" borderId="5" xfId="0" applyNumberFormat="1" applyFont="1" applyFill="1" applyBorder="1" applyAlignment="1">
      <alignment horizontal="center" wrapText="1"/>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49" fontId="2" fillId="2" borderId="4" xfId="0" applyNumberFormat="1" applyFont="1" applyFill="1" applyBorder="1" applyAlignment="1">
      <alignment horizontal="center" vertical="center"/>
    </xf>
    <xf numFmtId="0" fontId="2" fillId="2" borderId="4" xfId="0" applyFont="1" applyFill="1" applyBorder="1" applyAlignment="1">
      <alignment horizontal="center"/>
    </xf>
    <xf numFmtId="49" fontId="3" fillId="2" borderId="5" xfId="0" applyNumberFormat="1"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49" fontId="3" fillId="2" borderId="5" xfId="0" applyNumberFormat="1" applyFont="1" applyFill="1" applyBorder="1" applyAlignment="1">
      <alignment horizontal="center" vertical="center"/>
    </xf>
    <xf numFmtId="0" fontId="1" fillId="2" borderId="36"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34"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2" borderId="37" xfId="0" applyFont="1" applyFill="1" applyBorder="1" applyAlignment="1">
      <alignment horizontal="center" vertical="top" wrapText="1"/>
    </xf>
    <xf numFmtId="0" fontId="1" fillId="2" borderId="35" xfId="0" applyFont="1" applyFill="1" applyBorder="1" applyAlignment="1">
      <alignment horizontal="center" vertical="top" wrapText="1"/>
    </xf>
    <xf numFmtId="0" fontId="1" fillId="2" borderId="30" xfId="0" applyFont="1" applyFill="1" applyBorder="1" applyAlignment="1">
      <alignment horizontal="center" vertical="top" wrapText="1"/>
    </xf>
    <xf numFmtId="0" fontId="1" fillId="2" borderId="31" xfId="0" applyFont="1" applyFill="1" applyBorder="1" applyAlignment="1">
      <alignment horizontal="center" vertical="top" wrapText="1"/>
    </xf>
    <xf numFmtId="0" fontId="1" fillId="2" borderId="32" xfId="0" applyFont="1" applyFill="1" applyBorder="1" applyAlignment="1">
      <alignment horizontal="center" vertical="top" wrapText="1"/>
    </xf>
    <xf numFmtId="0" fontId="1" fillId="2" borderId="22" xfId="0" applyFont="1" applyFill="1" applyBorder="1" applyAlignment="1">
      <alignment horizontal="center" vertical="top" wrapText="1"/>
    </xf>
    <xf numFmtId="0" fontId="1" fillId="2" borderId="33" xfId="0" applyFont="1" applyFill="1" applyBorder="1" applyAlignment="1">
      <alignment horizontal="center" vertical="top" wrapText="1"/>
    </xf>
    <xf numFmtId="0" fontId="1" fillId="2" borderId="24" xfId="0" applyNumberFormat="1" applyFont="1" applyFill="1" applyBorder="1" applyAlignment="1">
      <alignment horizontal="center" vertical="top" wrapText="1"/>
    </xf>
    <xf numFmtId="0" fontId="1" fillId="2" borderId="25" xfId="0" applyFont="1" applyFill="1" applyBorder="1" applyAlignment="1">
      <alignment horizontal="center" vertical="top" wrapText="1"/>
    </xf>
    <xf numFmtId="49" fontId="1" fillId="2" borderId="26" xfId="0" applyNumberFormat="1" applyFont="1" applyFill="1" applyBorder="1" applyAlignment="1">
      <alignment horizontal="center" vertical="top" wrapText="1"/>
    </xf>
    <xf numFmtId="0" fontId="1" fillId="2" borderId="27" xfId="0" applyFont="1" applyFill="1" applyBorder="1" applyAlignment="1">
      <alignment horizontal="center" vertical="top" wrapText="1"/>
    </xf>
    <xf numFmtId="0" fontId="1" fillId="2" borderId="26" xfId="0" applyFont="1" applyFill="1" applyBorder="1" applyAlignment="1">
      <alignment horizontal="center" vertical="top" wrapText="1"/>
    </xf>
    <xf numFmtId="0" fontId="1" fillId="2" borderId="28"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39" xfId="0" applyFont="1" applyFill="1" applyBorder="1" applyAlignment="1">
      <alignment horizontal="center" vertical="top" wrapText="1"/>
    </xf>
    <xf numFmtId="0" fontId="1" fillId="2" borderId="38" xfId="0" applyFont="1" applyFill="1" applyBorder="1" applyAlignment="1">
      <alignment horizontal="center" vertical="top" wrapText="1"/>
    </xf>
    <xf numFmtId="49" fontId="2" fillId="2" borderId="17" xfId="0" applyNumberFormat="1" applyFont="1" applyFill="1" applyBorder="1" applyAlignment="1">
      <alignment horizontal="center" vertical="center"/>
    </xf>
    <xf numFmtId="0" fontId="2" fillId="2" borderId="21" xfId="0" applyFont="1" applyFill="1" applyBorder="1" applyAlignment="1">
      <alignment horizontal="center" vertical="center"/>
    </xf>
    <xf numFmtId="0" fontId="2" fillId="2" borderId="16" xfId="0" applyFont="1" applyFill="1" applyBorder="1" applyAlignment="1">
      <alignment horizontal="center" vertical="center"/>
    </xf>
    <xf numFmtId="49" fontId="2" fillId="3" borderId="24" xfId="0" applyNumberFormat="1" applyFont="1" applyFill="1" applyBorder="1" applyAlignment="1">
      <alignment horizontal="center" vertical="center"/>
    </xf>
    <xf numFmtId="0" fontId="2" fillId="3" borderId="25"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31" xfId="0" applyFont="1" applyFill="1" applyBorder="1" applyAlignment="1">
      <alignment horizontal="center" vertical="center"/>
    </xf>
    <xf numFmtId="49" fontId="2" fillId="3" borderId="26" xfId="0" applyNumberFormat="1" applyFont="1" applyFill="1" applyBorder="1" applyAlignment="1">
      <alignment horizontal="center" vertical="center"/>
    </xf>
    <xf numFmtId="0" fontId="2" fillId="3" borderId="27"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22" xfId="0" applyFont="1" applyFill="1" applyBorder="1" applyAlignment="1">
      <alignment horizontal="center" vertical="center"/>
    </xf>
    <xf numFmtId="49" fontId="2" fillId="3" borderId="26" xfId="0" applyNumberFormat="1"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3" xfId="0" applyFont="1" applyFill="1" applyBorder="1" applyAlignment="1">
      <alignment horizontal="center" vertical="center" wrapText="1"/>
    </xf>
    <xf numFmtId="49" fontId="4" fillId="2" borderId="1" xfId="0" applyNumberFormat="1" applyFont="1" applyFill="1" applyBorder="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8" xfId="0" applyFont="1" applyFill="1" applyBorder="1" applyAlignment="1">
      <alignment horizontal="center" wrapText="1"/>
    </xf>
    <xf numFmtId="0" fontId="4" fillId="2" borderId="9" xfId="0" applyFont="1" applyFill="1" applyBorder="1" applyAlignment="1">
      <alignment horizont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2" xfId="0" applyFont="1" applyFill="1" applyBorder="1" applyAlignment="1">
      <alignment horizontal="center" wrapText="1"/>
    </xf>
    <xf numFmtId="0" fontId="4" fillId="2" borderId="13" xfId="0" applyFont="1" applyFill="1" applyBorder="1" applyAlignment="1">
      <alignment horizontal="center" wrapText="1"/>
    </xf>
    <xf numFmtId="49" fontId="6" fillId="4" borderId="9" xfId="0" applyNumberFormat="1" applyFont="1" applyFill="1" applyBorder="1" applyAlignment="1">
      <alignment horizontal="center" vertical="center"/>
    </xf>
    <xf numFmtId="0" fontId="6" fillId="4" borderId="9" xfId="0" applyFont="1" applyFill="1" applyBorder="1" applyAlignment="1">
      <alignment horizontal="center" vertical="center"/>
    </xf>
    <xf numFmtId="49" fontId="8" fillId="4" borderId="9" xfId="0" applyNumberFormat="1" applyFont="1" applyFill="1" applyBorder="1" applyAlignment="1">
      <alignment horizontal="center" vertical="center"/>
    </xf>
    <xf numFmtId="0" fontId="8" fillId="4" borderId="9" xfId="0" applyFont="1" applyFill="1" applyBorder="1" applyAlignment="1">
      <alignment horizontal="center" vertical="center"/>
    </xf>
    <xf numFmtId="49" fontId="9" fillId="4" borderId="16"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49" fontId="11" fillId="3" borderId="46" xfId="0" applyNumberFormat="1" applyFont="1" applyFill="1" applyBorder="1" applyAlignment="1">
      <alignment horizontal="center" vertical="center" wrapText="1" readingOrder="1"/>
    </xf>
    <xf numFmtId="0" fontId="11" fillId="3" borderId="53" xfId="0" applyFont="1" applyFill="1" applyBorder="1" applyAlignment="1">
      <alignment horizontal="center" vertical="center" wrapText="1" readingOrder="1"/>
    </xf>
    <xf numFmtId="0" fontId="10" fillId="2" borderId="16" xfId="0" applyFont="1" applyFill="1" applyBorder="1" applyAlignment="1">
      <alignment horizontal="left" vertical="center"/>
    </xf>
    <xf numFmtId="0" fontId="10" fillId="2" borderId="9" xfId="0" applyFont="1" applyFill="1" applyBorder="1" applyAlignment="1">
      <alignment horizontal="left" vertical="center"/>
    </xf>
    <xf numFmtId="0" fontId="20" fillId="2" borderId="18" xfId="0" applyFont="1" applyFill="1" applyBorder="1" applyAlignment="1">
      <alignment horizontal="center" vertical="center"/>
    </xf>
    <xf numFmtId="0" fontId="20" fillId="2" borderId="19" xfId="0" applyFont="1" applyFill="1" applyBorder="1" applyAlignment="1">
      <alignment horizontal="center" vertical="center"/>
    </xf>
    <xf numFmtId="49" fontId="11" fillId="3" borderId="45" xfId="0" applyNumberFormat="1" applyFont="1" applyFill="1" applyBorder="1" applyAlignment="1">
      <alignment horizontal="center" vertical="center" wrapText="1" readingOrder="1"/>
    </xf>
    <xf numFmtId="0" fontId="11" fillId="3" borderId="51" xfId="0" applyFont="1" applyFill="1" applyBorder="1" applyAlignment="1">
      <alignment horizontal="center" vertical="center" wrapText="1" readingOrder="1"/>
    </xf>
    <xf numFmtId="49" fontId="11" fillId="2" borderId="45" xfId="0" applyNumberFormat="1" applyFont="1" applyFill="1" applyBorder="1" applyAlignment="1">
      <alignment horizontal="center" vertical="center" wrapText="1" readingOrder="1"/>
    </xf>
    <xf numFmtId="0" fontId="11" fillId="2" borderId="52" xfId="0" applyFont="1" applyFill="1" applyBorder="1" applyAlignment="1">
      <alignment horizontal="center" vertical="center" wrapText="1" readingOrder="1"/>
    </xf>
    <xf numFmtId="49" fontId="12" fillId="3" borderId="47" xfId="0" applyNumberFormat="1" applyFont="1" applyFill="1" applyBorder="1" applyAlignment="1">
      <alignment horizontal="center" vertical="center"/>
    </xf>
    <xf numFmtId="0" fontId="12" fillId="3" borderId="48" xfId="0" applyFont="1" applyFill="1" applyBorder="1" applyAlignment="1">
      <alignment horizontal="center" vertical="center"/>
    </xf>
    <xf numFmtId="0" fontId="12" fillId="3" borderId="49" xfId="0" applyFont="1" applyFill="1" applyBorder="1" applyAlignment="1">
      <alignment horizontal="center" vertical="center"/>
    </xf>
    <xf numFmtId="0" fontId="14" fillId="2" borderId="72" xfId="0" applyFont="1" applyFill="1" applyBorder="1" applyAlignment="1">
      <alignment horizontal="center" vertical="center" wrapText="1" readingOrder="1"/>
    </xf>
    <xf numFmtId="0" fontId="14" fillId="2" borderId="74" xfId="0" applyFont="1" applyFill="1" applyBorder="1" applyAlignment="1">
      <alignment horizontal="center" vertical="center" wrapText="1" readingOrder="1"/>
    </xf>
    <xf numFmtId="49" fontId="14" fillId="2" borderId="4" xfId="0" applyNumberFormat="1" applyFont="1" applyFill="1" applyBorder="1" applyAlignment="1">
      <alignment horizontal="center" vertical="center" wrapText="1" readingOrder="1"/>
    </xf>
    <xf numFmtId="0" fontId="14" fillId="2" borderId="4" xfId="0" applyFont="1" applyFill="1" applyBorder="1" applyAlignment="1">
      <alignment horizontal="center" vertical="center" wrapText="1" readingOrder="1"/>
    </xf>
    <xf numFmtId="49" fontId="14" fillId="2" borderId="64" xfId="0" applyNumberFormat="1" applyFont="1" applyFill="1" applyBorder="1" applyAlignment="1">
      <alignment horizontal="center" vertical="center" wrapText="1" readingOrder="1"/>
    </xf>
    <xf numFmtId="0" fontId="14" fillId="2" borderId="65" xfId="0" applyFont="1" applyFill="1" applyBorder="1" applyAlignment="1">
      <alignment horizontal="center" vertical="center" wrapText="1" readingOrder="1"/>
    </xf>
    <xf numFmtId="0" fontId="14" fillId="2" borderId="69" xfId="0" applyFont="1" applyFill="1" applyBorder="1" applyAlignment="1">
      <alignment horizontal="center" vertical="center" wrapText="1" readingOrder="1"/>
    </xf>
    <xf numFmtId="0" fontId="27" fillId="2" borderId="16" xfId="0" applyFont="1" applyFill="1" applyBorder="1" applyAlignment="1">
      <alignment horizontal="center" vertical="center"/>
    </xf>
    <xf numFmtId="0" fontId="27" fillId="2" borderId="9" xfId="0" applyFont="1" applyFill="1" applyBorder="1" applyAlignment="1">
      <alignment horizontal="center" vertical="center"/>
    </xf>
    <xf numFmtId="49" fontId="21" fillId="2" borderId="16" xfId="0" applyNumberFormat="1" applyFont="1" applyFill="1" applyBorder="1" applyAlignment="1">
      <alignment horizontal="left" vertical="center"/>
    </xf>
    <xf numFmtId="0" fontId="21" fillId="2" borderId="9" xfId="0" applyFont="1" applyFill="1" applyBorder="1" applyAlignment="1">
      <alignment horizontal="left" vertical="center"/>
    </xf>
    <xf numFmtId="0" fontId="21" fillId="2" borderId="75" xfId="0" applyFont="1" applyFill="1" applyBorder="1" applyAlignment="1">
      <alignment horizontal="left" vertical="center"/>
    </xf>
    <xf numFmtId="0" fontId="21" fillId="2" borderId="76" xfId="0" applyFont="1" applyFill="1" applyBorder="1" applyAlignment="1">
      <alignment horizontal="left" vertical="center"/>
    </xf>
    <xf numFmtId="49" fontId="25" fillId="2" borderId="79" xfId="0" applyNumberFormat="1" applyFont="1" applyFill="1" applyBorder="1" applyAlignment="1">
      <alignment horizontal="left" vertical="center" wrapText="1" readingOrder="1"/>
    </xf>
    <xf numFmtId="0" fontId="25" fillId="2" borderId="80" xfId="0" applyFont="1" applyFill="1" applyBorder="1" applyAlignment="1">
      <alignment horizontal="left" vertical="center" wrapText="1" readingOrder="1"/>
    </xf>
    <xf numFmtId="0" fontId="25" fillId="2" borderId="81" xfId="0" applyFont="1" applyFill="1" applyBorder="1" applyAlignment="1">
      <alignment horizontal="left" vertical="center" wrapText="1" readingOrder="1"/>
    </xf>
    <xf numFmtId="49" fontId="25" fillId="2" borderId="83" xfId="0" applyNumberFormat="1" applyFont="1" applyFill="1" applyBorder="1" applyAlignment="1">
      <alignment horizontal="left" vertical="center" wrapText="1" readingOrder="1"/>
    </xf>
    <xf numFmtId="0" fontId="25" fillId="2" borderId="84" xfId="0" applyFont="1" applyFill="1" applyBorder="1" applyAlignment="1">
      <alignment horizontal="left" vertical="center" wrapText="1" readingOrder="1"/>
    </xf>
    <xf numFmtId="0" fontId="25" fillId="2" borderId="85" xfId="0" applyFont="1" applyFill="1" applyBorder="1" applyAlignment="1">
      <alignment horizontal="left" vertical="center" wrapText="1" readingOrder="1"/>
    </xf>
    <xf numFmtId="49" fontId="4" fillId="2" borderId="88" xfId="0" applyNumberFormat="1" applyFont="1" applyFill="1" applyBorder="1" applyAlignment="1">
      <alignment horizontal="center"/>
    </xf>
    <xf numFmtId="49" fontId="2" fillId="3" borderId="4" xfId="0" applyNumberFormat="1" applyFont="1" applyFill="1" applyBorder="1" applyAlignment="1">
      <alignment horizontal="center" vertical="center"/>
    </xf>
    <xf numFmtId="0" fontId="2" fillId="3" borderId="4" xfId="0" applyFont="1" applyFill="1" applyBorder="1" applyAlignment="1">
      <alignment horizontal="center" vertical="center"/>
    </xf>
    <xf numFmtId="49" fontId="2" fillId="0" borderId="4" xfId="0" applyNumberFormat="1" applyFont="1" applyBorder="1" applyAlignment="1">
      <alignment horizontal="center" vertical="center"/>
    </xf>
    <xf numFmtId="0" fontId="2" fillId="0" borderId="4" xfId="0" applyFont="1" applyBorder="1" applyAlignment="1">
      <alignment horizontal="center"/>
    </xf>
    <xf numFmtId="0" fontId="2" fillId="0" borderId="94" xfId="0" applyFont="1" applyBorder="1" applyAlignment="1">
      <alignment horizontal="center"/>
    </xf>
    <xf numFmtId="49" fontId="3" fillId="0" borderId="5" xfId="0" applyNumberFormat="1"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49" fontId="3" fillId="0" borderId="95" xfId="0" applyNumberFormat="1" applyFont="1" applyBorder="1" applyAlignment="1">
      <alignment horizontal="center"/>
    </xf>
    <xf numFmtId="0" fontId="3" fillId="0" borderId="96" xfId="0" applyFont="1" applyBorder="1" applyAlignment="1">
      <alignment horizontal="center"/>
    </xf>
    <xf numFmtId="0" fontId="3" fillId="0" borderId="97" xfId="0" applyFont="1" applyBorder="1" applyAlignment="1">
      <alignment horizontal="center"/>
    </xf>
    <xf numFmtId="49" fontId="2" fillId="3" borderId="109" xfId="0" applyNumberFormat="1" applyFont="1" applyFill="1" applyBorder="1" applyAlignment="1">
      <alignment horizontal="center" vertical="center"/>
    </xf>
    <xf numFmtId="0" fontId="2" fillId="3" borderId="110" xfId="0" applyFont="1" applyFill="1" applyBorder="1" applyAlignment="1">
      <alignment horizontal="center" vertical="center"/>
    </xf>
    <xf numFmtId="0" fontId="2" fillId="3" borderId="111" xfId="0" applyFont="1" applyFill="1" applyBorder="1" applyAlignment="1">
      <alignment horizontal="center" vertical="center"/>
    </xf>
    <xf numFmtId="49" fontId="2" fillId="3" borderId="114" xfId="0" applyNumberFormat="1"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36" fillId="2" borderId="120" xfId="0" applyFont="1" applyFill="1" applyBorder="1" applyAlignment="1">
      <alignment horizontal="center" vertical="center"/>
    </xf>
    <xf numFmtId="0" fontId="36" fillId="2" borderId="121" xfId="0" applyFont="1" applyFill="1" applyBorder="1" applyAlignment="1">
      <alignment horizontal="center" vertical="center"/>
    </xf>
    <xf numFmtId="0" fontId="36" fillId="2" borderId="122" xfId="0" applyFont="1" applyFill="1" applyBorder="1" applyAlignment="1">
      <alignment horizontal="center" vertical="center"/>
    </xf>
    <xf numFmtId="0" fontId="1" fillId="2" borderId="120" xfId="0" applyFont="1" applyFill="1" applyBorder="1" applyAlignment="1">
      <alignment horizontal="center" vertical="center" wrapText="1"/>
    </xf>
    <xf numFmtId="0" fontId="1" fillId="2" borderId="121" xfId="0" applyFont="1" applyFill="1" applyBorder="1" applyAlignment="1">
      <alignment horizontal="center" vertical="center" wrapText="1"/>
    </xf>
    <xf numFmtId="0" fontId="1" fillId="2" borderId="122" xfId="0" applyFont="1" applyFill="1" applyBorder="1" applyAlignment="1">
      <alignment horizontal="center" vertical="center" wrapText="1"/>
    </xf>
    <xf numFmtId="0" fontId="36" fillId="2" borderId="65" xfId="0" applyFont="1" applyFill="1" applyBorder="1" applyAlignment="1">
      <alignment horizontal="center" vertical="center"/>
    </xf>
    <xf numFmtId="0" fontId="36" fillId="2" borderId="69" xfId="0" applyFont="1" applyFill="1" applyBorder="1" applyAlignment="1">
      <alignment horizontal="center" vertical="center"/>
    </xf>
    <xf numFmtId="0" fontId="30" fillId="2" borderId="64" xfId="0" applyNumberFormat="1" applyFont="1" applyFill="1" applyBorder="1" applyAlignment="1">
      <alignment horizontal="center" vertical="center"/>
    </xf>
    <xf numFmtId="0" fontId="30" fillId="2" borderId="69" xfId="0" applyFont="1" applyFill="1" applyBorder="1" applyAlignment="1">
      <alignment horizontal="center" vertical="center"/>
    </xf>
    <xf numFmtId="49" fontId="1" fillId="2" borderId="64" xfId="0" applyNumberFormat="1" applyFont="1" applyFill="1" applyBorder="1" applyAlignment="1">
      <alignment horizontal="left" vertical="center" wrapText="1"/>
    </xf>
    <xf numFmtId="0" fontId="1" fillId="2" borderId="69" xfId="0" applyFont="1" applyFill="1" applyBorder="1" applyAlignment="1">
      <alignment horizontal="left" vertical="center" wrapText="1"/>
    </xf>
    <xf numFmtId="0" fontId="1" fillId="2" borderId="4" xfId="0" applyFont="1" applyFill="1" applyBorder="1" applyAlignment="1">
      <alignment horizontal="center"/>
    </xf>
    <xf numFmtId="0" fontId="31" fillId="2" borderId="120" xfId="0" applyFont="1" applyFill="1" applyBorder="1" applyAlignment="1">
      <alignment horizontal="center" vertical="center"/>
    </xf>
    <xf numFmtId="0" fontId="31" fillId="2" borderId="121" xfId="0" applyFont="1" applyFill="1" applyBorder="1" applyAlignment="1">
      <alignment horizontal="center" vertical="center"/>
    </xf>
    <xf numFmtId="0" fontId="31" fillId="2" borderId="122" xfId="0" applyFont="1" applyFill="1" applyBorder="1" applyAlignment="1">
      <alignment horizontal="center" vertical="center"/>
    </xf>
    <xf numFmtId="0" fontId="1" fillId="2" borderId="64" xfId="0" applyFont="1" applyFill="1" applyBorder="1" applyAlignment="1">
      <alignment horizontal="center" vertical="center"/>
    </xf>
    <xf numFmtId="0" fontId="1" fillId="2" borderId="65" xfId="0" applyFont="1" applyFill="1" applyBorder="1" applyAlignment="1">
      <alignment horizontal="center" vertical="center"/>
    </xf>
    <xf numFmtId="0" fontId="1" fillId="2" borderId="69" xfId="0" applyFont="1" applyFill="1" applyBorder="1" applyAlignment="1">
      <alignment horizontal="center" vertical="center"/>
    </xf>
    <xf numFmtId="0" fontId="2" fillId="2" borderId="4" xfId="0" applyNumberFormat="1" applyFont="1" applyFill="1" applyBorder="1" applyAlignment="1">
      <alignment horizontal="center" vertical="center" wrapText="1" readingOrder="1"/>
    </xf>
    <xf numFmtId="0" fontId="2" fillId="2" borderId="4" xfId="0" applyFont="1" applyFill="1" applyBorder="1" applyAlignment="1">
      <alignment horizontal="center" vertical="center" wrapText="1" readingOrder="1"/>
    </xf>
    <xf numFmtId="49" fontId="2" fillId="2" borderId="4" xfId="0" applyNumberFormat="1" applyFont="1" applyFill="1" applyBorder="1" applyAlignment="1">
      <alignment horizontal="center" vertical="center" wrapText="1" readingOrder="1"/>
    </xf>
    <xf numFmtId="0" fontId="2" fillId="2" borderId="5" xfId="0" applyFont="1" applyFill="1" applyBorder="1" applyAlignment="1">
      <alignment horizontal="center" vertical="center" wrapText="1" readingOrder="1"/>
    </xf>
    <xf numFmtId="0" fontId="29" fillId="2" borderId="119" xfId="0" applyFont="1" applyFill="1" applyBorder="1" applyAlignment="1">
      <alignment horizontal="center" vertical="center" wrapText="1" readingOrder="1"/>
    </xf>
    <xf numFmtId="0" fontId="29" fillId="0" borderId="119" xfId="0" applyFont="1" applyFill="1" applyBorder="1" applyAlignment="1">
      <alignment horizontal="center" vertical="center" wrapText="1" readingOrder="1"/>
    </xf>
    <xf numFmtId="0" fontId="29" fillId="2" borderId="123" xfId="0" applyFont="1" applyFill="1" applyBorder="1" applyAlignment="1">
      <alignment horizontal="center" vertical="center" wrapText="1" readingOrder="1"/>
    </xf>
    <xf numFmtId="49" fontId="3"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3" fillId="2" borderId="4" xfId="0" applyNumberFormat="1" applyFont="1" applyFill="1" applyBorder="1" applyAlignment="1">
      <alignment horizontal="center"/>
    </xf>
    <xf numFmtId="0" fontId="3" fillId="2" borderId="4" xfId="0" applyFont="1" applyFill="1" applyBorder="1" applyAlignment="1">
      <alignment horizontal="center"/>
    </xf>
    <xf numFmtId="49" fontId="2" fillId="2" borderId="4" xfId="0" applyNumberFormat="1" applyFont="1" applyFill="1" applyBorder="1" applyAlignment="1">
      <alignment horizontal="center"/>
    </xf>
    <xf numFmtId="49" fontId="2" fillId="2" borderId="131" xfId="0" applyNumberFormat="1" applyFont="1" applyFill="1" applyBorder="1" applyAlignment="1">
      <alignment horizontal="left" vertical="center" wrapText="1" readingOrder="1"/>
    </xf>
    <xf numFmtId="49" fontId="2" fillId="2"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3" xfId="0" applyFont="1" applyFill="1" applyBorder="1" applyAlignment="1">
      <alignment horizontal="center" vertical="center" wrapText="1"/>
    </xf>
    <xf numFmtId="49" fontId="2" fillId="2" borderId="89" xfId="0" applyNumberFormat="1" applyFont="1" applyFill="1" applyBorder="1" applyAlignment="1">
      <alignment horizontal="center" vertical="center" wrapText="1"/>
    </xf>
    <xf numFmtId="49" fontId="2" fillId="2" borderId="91" xfId="0" applyNumberFormat="1" applyFont="1" applyFill="1" applyBorder="1" applyAlignment="1">
      <alignment horizontal="center" vertical="center" wrapText="1"/>
    </xf>
    <xf numFmtId="49" fontId="2" fillId="2" borderId="12" xfId="0" applyNumberFormat="1" applyFont="1" applyFill="1" applyBorder="1" applyAlignment="1">
      <alignment horizontal="center" vertical="center" wrapText="1"/>
    </xf>
    <xf numFmtId="0" fontId="46" fillId="2" borderId="133" xfId="0" applyFont="1" applyFill="1" applyBorder="1" applyAlignment="1">
      <alignment horizontal="left"/>
    </xf>
    <xf numFmtId="0" fontId="46" fillId="2" borderId="91" xfId="0" applyFont="1" applyFill="1" applyBorder="1" applyAlignment="1">
      <alignment horizontal="left"/>
    </xf>
    <xf numFmtId="0" fontId="46" fillId="0" borderId="90" xfId="0" applyFont="1" applyFill="1" applyBorder="1" applyAlignment="1">
      <alignment horizontal="left"/>
    </xf>
    <xf numFmtId="0" fontId="46" fillId="0" borderId="91" xfId="0" applyFont="1" applyFill="1" applyBorder="1" applyAlignment="1">
      <alignment horizontal="left"/>
    </xf>
    <xf numFmtId="0" fontId="46" fillId="0" borderId="17" xfId="0" applyFont="1" applyFill="1" applyBorder="1" applyAlignment="1">
      <alignment horizontal="left"/>
    </xf>
    <xf numFmtId="49" fontId="2" fillId="0" borderId="126" xfId="0" applyNumberFormat="1" applyFont="1" applyFill="1" applyBorder="1" applyAlignment="1">
      <alignment horizontal="center" vertical="center" wrapText="1"/>
    </xf>
    <xf numFmtId="0" fontId="2" fillId="2" borderId="119" xfId="0" applyFont="1" applyFill="1" applyBorder="1" applyAlignment="1">
      <alignment horizontal="center" vertical="center" wrapText="1"/>
    </xf>
    <xf numFmtId="0" fontId="2" fillId="0" borderId="119" xfId="0" applyFont="1" applyFill="1" applyBorder="1" applyAlignment="1">
      <alignment horizontal="center" vertical="center" wrapText="1"/>
    </xf>
    <xf numFmtId="0" fontId="2" fillId="2" borderId="127"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120" xfId="0" applyFont="1" applyFill="1" applyBorder="1" applyAlignment="1">
      <alignment horizontal="center" vertical="center"/>
    </xf>
    <xf numFmtId="0" fontId="2" fillId="2" borderId="88" xfId="0" applyFont="1" applyFill="1" applyBorder="1" applyAlignment="1">
      <alignment horizontal="center" vertical="center"/>
    </xf>
    <xf numFmtId="49" fontId="29" fillId="2" borderId="4" xfId="0" applyNumberFormat="1" applyFont="1" applyFill="1" applyBorder="1" applyAlignment="1">
      <alignment horizontal="center" vertical="center" wrapText="1" readingOrder="1"/>
    </xf>
    <xf numFmtId="0" fontId="29" fillId="2" borderId="4" xfId="0" applyFont="1" applyFill="1" applyBorder="1" applyAlignment="1">
      <alignment horizontal="center" vertical="center" wrapText="1" readingOrder="1"/>
    </xf>
    <xf numFmtId="0" fontId="29" fillId="2" borderId="120" xfId="0" applyFont="1" applyFill="1" applyBorder="1" applyAlignment="1">
      <alignment horizontal="center" vertical="center" wrapText="1" readingOrder="1"/>
    </xf>
    <xf numFmtId="0" fontId="29" fillId="2" borderId="122" xfId="0" applyFont="1" applyFill="1" applyBorder="1" applyAlignment="1">
      <alignment horizontal="center" vertical="center" wrapText="1" readingOrder="1"/>
    </xf>
    <xf numFmtId="49" fontId="39" fillId="7" borderId="5" xfId="0" applyNumberFormat="1" applyFont="1" applyFill="1" applyBorder="1" applyAlignment="1">
      <alignment horizontal="left" vertical="center"/>
    </xf>
    <xf numFmtId="0" fontId="39" fillId="7" borderId="7" xfId="0" applyFont="1" applyFill="1" applyBorder="1" applyAlignment="1">
      <alignment horizontal="left" vertical="center"/>
    </xf>
    <xf numFmtId="49" fontId="39" fillId="12" borderId="4" xfId="0" applyNumberFormat="1" applyFont="1" applyFill="1" applyBorder="1" applyAlignment="1">
      <alignment horizontal="left"/>
    </xf>
    <xf numFmtId="0" fontId="39" fillId="12" borderId="4" xfId="0" applyFont="1" applyFill="1" applyBorder="1" applyAlignment="1">
      <alignment horizontal="left"/>
    </xf>
    <xf numFmtId="49" fontId="44" fillId="0" borderId="4" xfId="0" applyNumberFormat="1" applyFont="1" applyBorder="1" applyAlignment="1">
      <alignment horizontal="center"/>
    </xf>
    <xf numFmtId="0" fontId="44" fillId="0" borderId="4" xfId="0" applyFont="1" applyBorder="1" applyAlignment="1">
      <alignment horizontal="center"/>
    </xf>
    <xf numFmtId="49" fontId="39" fillId="3" borderId="4" xfId="0" applyNumberFormat="1" applyFont="1" applyFill="1" applyBorder="1" applyAlignment="1">
      <alignment horizontal="center" vertical="center"/>
    </xf>
    <xf numFmtId="0" fontId="39" fillId="3" borderId="4" xfId="0" applyFont="1" applyFill="1" applyBorder="1" applyAlignment="1">
      <alignment horizontal="center" vertical="center"/>
    </xf>
    <xf numFmtId="49" fontId="44" fillId="2" borderId="4" xfId="0" applyNumberFormat="1" applyFont="1" applyFill="1" applyBorder="1" applyAlignment="1">
      <alignment horizontal="center" vertical="center" wrapText="1"/>
    </xf>
    <xf numFmtId="0" fontId="44" fillId="2" borderId="4" xfId="0" applyFont="1" applyFill="1" applyBorder="1" applyAlignment="1">
      <alignment horizontal="center" vertical="center" wrapText="1"/>
    </xf>
    <xf numFmtId="49" fontId="44" fillId="2" borderId="4" xfId="0" applyNumberFormat="1" applyFont="1" applyFill="1" applyBorder="1" applyAlignment="1">
      <alignment horizontal="center" vertical="center"/>
    </xf>
    <xf numFmtId="0" fontId="44" fillId="2" borderId="4" xfId="0" applyFont="1" applyFill="1" applyBorder="1" applyAlignment="1">
      <alignment horizontal="center" vertical="center"/>
    </xf>
    <xf numFmtId="49" fontId="39" fillId="2" borderId="4" xfId="0" applyNumberFormat="1" applyFont="1" applyFill="1" applyBorder="1" applyAlignment="1">
      <alignment horizontal="center" vertical="center"/>
    </xf>
    <xf numFmtId="0" fontId="39" fillId="2" borderId="4" xfId="0" applyFont="1" applyFill="1" applyBorder="1" applyAlignment="1">
      <alignment horizontal="center" vertical="center"/>
    </xf>
    <xf numFmtId="9" fontId="44" fillId="0" borderId="128" xfId="1" applyFont="1" applyBorder="1"/>
    <xf numFmtId="49" fontId="37" fillId="13" borderId="131" xfId="0" applyNumberFormat="1" applyFont="1" applyFill="1" applyBorder="1" applyAlignment="1">
      <alignment horizontal="center" vertical="center"/>
    </xf>
    <xf numFmtId="0" fontId="37" fillId="13" borderId="131" xfId="0" applyFont="1" applyFill="1" applyBorder="1" applyAlignment="1">
      <alignment horizontal="center" vertical="center"/>
    </xf>
    <xf numFmtId="0" fontId="0" fillId="13" borderId="0" xfId="0" applyNumberFormat="1" applyFill="1"/>
    <xf numFmtId="0" fontId="0" fillId="13" borderId="131" xfId="0" applyFill="1" applyBorder="1"/>
    <xf numFmtId="49" fontId="43" fillId="13" borderId="131" xfId="0" applyNumberFormat="1" applyFont="1" applyFill="1" applyBorder="1" applyAlignment="1">
      <alignment horizontal="center" vertical="center" wrapText="1"/>
    </xf>
    <xf numFmtId="0" fontId="0" fillId="13" borderId="91" xfId="0" applyNumberFormat="1" applyFill="1" applyBorder="1"/>
    <xf numFmtId="0" fontId="44" fillId="13" borderId="0" xfId="0" applyNumberFormat="1" applyFont="1" applyFill="1"/>
    <xf numFmtId="0" fontId="44" fillId="13" borderId="131" xfId="0" applyFont="1" applyFill="1" applyBorder="1"/>
    <xf numFmtId="0" fontId="44" fillId="13" borderId="72" xfId="0" applyFont="1" applyFill="1" applyBorder="1"/>
    <xf numFmtId="0" fontId="44" fillId="13" borderId="91" xfId="0" applyNumberFormat="1" applyFont="1" applyFill="1" applyBorder="1"/>
    <xf numFmtId="0" fontId="44" fillId="13" borderId="131" xfId="0" applyFont="1" applyFill="1" applyBorder="1" applyAlignment="1">
      <alignment horizontal="center"/>
    </xf>
    <xf numFmtId="49" fontId="43" fillId="19" borderId="131" xfId="0" applyNumberFormat="1" applyFont="1" applyFill="1" applyBorder="1" applyAlignment="1">
      <alignment horizontal="center" vertical="center" wrapText="1"/>
    </xf>
    <xf numFmtId="49" fontId="1" fillId="13" borderId="131" xfId="0" applyNumberFormat="1" applyFont="1" applyFill="1" applyBorder="1" applyAlignment="1">
      <alignment wrapText="1"/>
    </xf>
    <xf numFmtId="164" fontId="1" fillId="13" borderId="131" xfId="0" applyNumberFormat="1" applyFont="1" applyFill="1" applyBorder="1" applyAlignment="1">
      <alignment horizontal="right"/>
    </xf>
    <xf numFmtId="0" fontId="56" fillId="18" borderId="135" xfId="0" applyFont="1" applyFill="1" applyBorder="1" applyAlignment="1">
      <alignment horizontal="center" vertical="center"/>
    </xf>
    <xf numFmtId="0" fontId="56" fillId="18" borderId="136" xfId="0" applyFont="1" applyFill="1" applyBorder="1" applyAlignment="1">
      <alignment horizontal="center" vertical="center"/>
    </xf>
    <xf numFmtId="0" fontId="56" fillId="18" borderId="137" xfId="0" applyFont="1" applyFill="1" applyBorder="1" applyAlignment="1">
      <alignment horizontal="center" vertical="center"/>
    </xf>
    <xf numFmtId="0" fontId="56" fillId="18" borderId="138" xfId="0" applyFont="1" applyFill="1" applyBorder="1" applyAlignment="1">
      <alignment horizontal="center" vertical="center"/>
    </xf>
    <xf numFmtId="0" fontId="56" fillId="18" borderId="139" xfId="0" applyFont="1" applyFill="1" applyBorder="1" applyAlignment="1">
      <alignment horizontal="center" vertical="center"/>
    </xf>
    <xf numFmtId="0" fontId="56" fillId="18" borderId="140" xfId="0" applyFont="1" applyFill="1" applyBorder="1" applyAlignment="1">
      <alignment horizontal="center" vertical="center"/>
    </xf>
    <xf numFmtId="0" fontId="0" fillId="0" borderId="74" xfId="0" applyBorder="1"/>
    <xf numFmtId="0" fontId="0" fillId="13" borderId="91" xfId="0" applyFill="1" applyBorder="1"/>
    <xf numFmtId="0" fontId="3" fillId="13" borderId="91" xfId="0" applyFont="1" applyFill="1" applyBorder="1"/>
    <xf numFmtId="0" fontId="0" fillId="2" borderId="74" xfId="0" applyFill="1" applyBorder="1"/>
    <xf numFmtId="164" fontId="3" fillId="0" borderId="122" xfId="0" applyNumberFormat="1" applyFont="1" applyBorder="1" applyAlignment="1">
      <alignment horizontal="right"/>
    </xf>
    <xf numFmtId="0" fontId="43" fillId="13" borderId="91" xfId="0" applyNumberFormat="1" applyFont="1" applyFill="1" applyBorder="1" applyAlignment="1">
      <alignment horizontal="right" wrapText="1"/>
    </xf>
    <xf numFmtId="49" fontId="1" fillId="13" borderId="91" xfId="0" applyNumberFormat="1" applyFont="1" applyFill="1" applyBorder="1" applyAlignment="1">
      <alignment horizontal="right" wrapText="1"/>
    </xf>
    <xf numFmtId="49" fontId="43" fillId="13" borderId="91" xfId="0" applyNumberFormat="1" applyFont="1" applyFill="1" applyBorder="1" applyAlignment="1">
      <alignment horizontal="right" vertical="center" wrapText="1"/>
    </xf>
    <xf numFmtId="49" fontId="43" fillId="13" borderId="91" xfId="0" applyNumberFormat="1" applyFont="1" applyFill="1" applyBorder="1" applyAlignment="1">
      <alignment wrapText="1"/>
    </xf>
    <xf numFmtId="166" fontId="43" fillId="13" borderId="91" xfId="0" applyNumberFormat="1" applyFont="1" applyFill="1" applyBorder="1" applyAlignment="1">
      <alignment wrapText="1"/>
    </xf>
    <xf numFmtId="0" fontId="43" fillId="13" borderId="91" xfId="0" applyNumberFormat="1" applyFont="1" applyFill="1" applyBorder="1" applyAlignment="1">
      <alignment wrapText="1"/>
    </xf>
    <xf numFmtId="49" fontId="43" fillId="13" borderId="91" xfId="0" applyNumberFormat="1" applyFont="1" applyFill="1" applyBorder="1" applyAlignment="1">
      <alignment horizontal="left" wrapText="1"/>
    </xf>
    <xf numFmtId="49" fontId="1" fillId="13" borderId="91" xfId="0" applyNumberFormat="1" applyFont="1" applyFill="1" applyBorder="1" applyAlignment="1">
      <alignment horizontal="right" vertical="center" wrapText="1"/>
    </xf>
    <xf numFmtId="49" fontId="43" fillId="13" borderId="91" xfId="0" applyNumberFormat="1" applyFont="1" applyFill="1" applyBorder="1" applyAlignment="1">
      <alignment horizontal="right" wrapText="1"/>
    </xf>
    <xf numFmtId="166" fontId="43" fillId="13" borderId="91" xfId="0" applyNumberFormat="1" applyFont="1" applyFill="1" applyBorder="1" applyAlignment="1">
      <alignment horizontal="right" wrapText="1"/>
    </xf>
    <xf numFmtId="49" fontId="43" fillId="13" borderId="91" xfId="0" applyNumberFormat="1" applyFont="1" applyFill="1" applyBorder="1" applyAlignment="1">
      <alignment vertical="top" wrapText="1"/>
    </xf>
    <xf numFmtId="166" fontId="43" fillId="13" borderId="91" xfId="0" applyNumberFormat="1" applyFont="1" applyFill="1" applyBorder="1" applyAlignment="1">
      <alignment horizontal="right" vertical="top" wrapText="1"/>
    </xf>
    <xf numFmtId="166" fontId="1" fillId="13" borderId="91" xfId="0" applyNumberFormat="1" applyFont="1" applyFill="1" applyBorder="1" applyAlignment="1">
      <alignment horizontal="right" vertical="top" wrapText="1"/>
    </xf>
    <xf numFmtId="0" fontId="43" fillId="13" borderId="91" xfId="0" applyFont="1" applyFill="1" applyBorder="1" applyAlignment="1">
      <alignment horizontal="right" wrapText="1"/>
    </xf>
    <xf numFmtId="0" fontId="1" fillId="13" borderId="91" xfId="0" applyFont="1" applyFill="1" applyBorder="1" applyAlignment="1">
      <alignment horizontal="right" wrapText="1"/>
    </xf>
    <xf numFmtId="0" fontId="32" fillId="15" borderId="131" xfId="0" applyFont="1" applyFill="1" applyBorder="1" applyAlignment="1">
      <alignment horizontal="center" vertical="center"/>
    </xf>
    <xf numFmtId="0" fontId="44" fillId="13" borderId="0" xfId="0" applyNumberFormat="1" applyFont="1" applyFill="1" applyAlignment="1">
      <alignment vertical="center"/>
    </xf>
    <xf numFmtId="0" fontId="1" fillId="13" borderId="0" xfId="0" applyNumberFormat="1" applyFont="1" applyFill="1" applyAlignment="1">
      <alignment vertical="center"/>
    </xf>
    <xf numFmtId="49" fontId="1" fillId="13" borderId="131" xfId="0" applyNumberFormat="1" applyFont="1" applyFill="1" applyBorder="1" applyAlignment="1">
      <alignment vertical="center" wrapText="1"/>
    </xf>
    <xf numFmtId="164" fontId="1" fillId="13" borderId="131" xfId="0" applyNumberFormat="1" applyFont="1" applyFill="1" applyBorder="1" applyAlignment="1">
      <alignment horizontal="right" vertical="center"/>
    </xf>
    <xf numFmtId="164" fontId="55" fillId="13" borderId="131" xfId="0" applyNumberFormat="1" applyFont="1" applyFill="1" applyBorder="1" applyAlignment="1">
      <alignment horizontal="right" vertical="center"/>
    </xf>
    <xf numFmtId="0" fontId="55" fillId="13" borderId="131" xfId="0" applyNumberFormat="1" applyFont="1" applyFill="1" applyBorder="1" applyAlignment="1">
      <alignment horizontal="left" vertical="center" wrapText="1"/>
    </xf>
    <xf numFmtId="0" fontId="1" fillId="13" borderId="131" xfId="0" applyNumberFormat="1" applyFont="1" applyFill="1" applyBorder="1" applyAlignment="1">
      <alignment vertical="center"/>
    </xf>
    <xf numFmtId="4" fontId="39" fillId="6" borderId="4" xfId="0" applyNumberFormat="1" applyFont="1" applyFill="1" applyBorder="1"/>
    <xf numFmtId="0" fontId="44" fillId="13" borderId="129" xfId="0" applyFont="1" applyFill="1" applyBorder="1"/>
    <xf numFmtId="49" fontId="1" fillId="13" borderId="131" xfId="0" applyNumberFormat="1" applyFont="1" applyFill="1" applyBorder="1" applyAlignment="1">
      <alignment horizontal="left" vertical="top" wrapText="1"/>
    </xf>
    <xf numFmtId="164" fontId="3" fillId="13" borderId="131" xfId="0" applyNumberFormat="1" applyFont="1" applyFill="1" applyBorder="1" applyAlignment="1">
      <alignment horizontal="right"/>
    </xf>
    <xf numFmtId="49" fontId="1" fillId="13" borderId="131" xfId="0" applyNumberFormat="1" applyFont="1" applyFill="1" applyBorder="1" applyAlignment="1">
      <alignment horizontal="left" wrapText="1"/>
    </xf>
    <xf numFmtId="49" fontId="3" fillId="13" borderId="131" xfId="0" applyNumberFormat="1" applyFont="1" applyFill="1" applyBorder="1" applyAlignment="1">
      <alignment horizontal="left" wrapText="1"/>
    </xf>
    <xf numFmtId="49" fontId="44" fillId="13" borderId="91" xfId="0" applyNumberFormat="1" applyFont="1" applyFill="1" applyBorder="1" applyAlignment="1">
      <alignment wrapText="1"/>
    </xf>
    <xf numFmtId="166" fontId="44" fillId="13" borderId="91" xfId="0" applyNumberFormat="1" applyFont="1" applyFill="1" applyBorder="1" applyAlignment="1">
      <alignment wrapText="1"/>
    </xf>
    <xf numFmtId="166" fontId="44" fillId="13" borderId="91" xfId="0" applyNumberFormat="1" applyFont="1" applyFill="1" applyBorder="1"/>
    <xf numFmtId="49" fontId="44" fillId="13" borderId="91" xfId="0" applyNumberFormat="1" applyFont="1" applyFill="1" applyBorder="1" applyAlignment="1">
      <alignment vertical="top" wrapText="1"/>
    </xf>
    <xf numFmtId="49" fontId="44" fillId="13" borderId="131" xfId="0" applyNumberFormat="1" applyFont="1" applyFill="1" applyBorder="1" applyAlignment="1">
      <alignment horizontal="center"/>
    </xf>
    <xf numFmtId="49" fontId="4" fillId="13" borderId="131" xfId="0" applyNumberFormat="1" applyFont="1" applyFill="1" applyBorder="1" applyAlignment="1">
      <alignment horizontal="center" vertical="center" wrapText="1"/>
    </xf>
    <xf numFmtId="0" fontId="4" fillId="13" borderId="131" xfId="0" applyFont="1" applyFill="1" applyBorder="1" applyAlignment="1">
      <alignment horizontal="center" vertical="center" wrapText="1"/>
    </xf>
    <xf numFmtId="49" fontId="4" fillId="13" borderId="131" xfId="0" applyNumberFormat="1" applyFont="1" applyFill="1" applyBorder="1" applyAlignment="1">
      <alignment horizontal="center" vertical="center"/>
    </xf>
    <xf numFmtId="0" fontId="4" fillId="13" borderId="131" xfId="0" applyFont="1" applyFill="1" applyBorder="1" applyAlignment="1">
      <alignment horizontal="center" vertical="center"/>
    </xf>
    <xf numFmtId="0" fontId="44" fillId="13" borderId="134" xfId="0" applyFont="1" applyFill="1" applyBorder="1" applyAlignment="1">
      <alignment horizontal="center"/>
    </xf>
    <xf numFmtId="0" fontId="44" fillId="13" borderId="141" xfId="0" applyFont="1" applyFill="1" applyBorder="1" applyAlignment="1">
      <alignment horizontal="center"/>
    </xf>
    <xf numFmtId="0" fontId="44" fillId="13" borderId="132" xfId="0" applyFont="1" applyFill="1" applyBorder="1" applyAlignment="1">
      <alignment horizontal="center"/>
    </xf>
    <xf numFmtId="164" fontId="49" fillId="13" borderId="131" xfId="0" applyNumberFormat="1" applyFont="1" applyFill="1" applyBorder="1" applyAlignment="1">
      <alignment horizontal="right"/>
    </xf>
    <xf numFmtId="49" fontId="1" fillId="13" borderId="131" xfId="0" applyNumberFormat="1" applyFont="1" applyFill="1" applyBorder="1" applyAlignment="1">
      <alignment vertical="top" wrapText="1"/>
    </xf>
    <xf numFmtId="164" fontId="3" fillId="13" borderId="131" xfId="0" applyNumberFormat="1" applyFont="1" applyFill="1" applyBorder="1" applyAlignment="1"/>
    <xf numFmtId="49" fontId="3" fillId="13" borderId="131" xfId="0" applyNumberFormat="1" applyFont="1" applyFill="1" applyBorder="1" applyAlignment="1">
      <alignment wrapText="1"/>
    </xf>
    <xf numFmtId="164" fontId="1" fillId="13" borderId="131" xfId="0" applyNumberFormat="1" applyFont="1" applyFill="1" applyBorder="1" applyAlignment="1"/>
    <xf numFmtId="164" fontId="49" fillId="13" borderId="131" xfId="0" applyNumberFormat="1" applyFont="1" applyFill="1" applyBorder="1" applyAlignment="1"/>
    <xf numFmtId="0" fontId="44" fillId="0" borderId="91" xfId="0" applyNumberFormat="1" applyFont="1" applyBorder="1"/>
    <xf numFmtId="167" fontId="1" fillId="2" borderId="91" xfId="0" applyNumberFormat="1" applyFont="1" applyFill="1" applyBorder="1" applyAlignment="1">
      <alignment horizontal="center" vertical="center"/>
    </xf>
    <xf numFmtId="0" fontId="44" fillId="0" borderId="91" xfId="0" applyFont="1" applyBorder="1"/>
    <xf numFmtId="0" fontId="44" fillId="2" borderId="91" xfId="0" applyFont="1" applyFill="1" applyBorder="1" applyAlignment="1">
      <alignment vertical="center" wrapText="1"/>
    </xf>
    <xf numFmtId="0" fontId="4" fillId="0" borderId="91" xfId="0" applyFont="1" applyBorder="1"/>
    <xf numFmtId="0" fontId="44" fillId="2" borderId="91" xfId="0" applyFont="1" applyFill="1" applyBorder="1"/>
    <xf numFmtId="0" fontId="44" fillId="2" borderId="91" xfId="0" applyFont="1" applyFill="1" applyBorder="1" applyAlignment="1">
      <alignment vertical="center"/>
    </xf>
    <xf numFmtId="0" fontId="4" fillId="0" borderId="91" xfId="0" applyNumberFormat="1" applyFont="1" applyBorder="1"/>
    <xf numFmtId="49" fontId="4" fillId="2" borderId="131" xfId="0" applyNumberFormat="1" applyFont="1" applyFill="1" applyBorder="1" applyAlignment="1">
      <alignment vertical="center" wrapText="1"/>
    </xf>
    <xf numFmtId="49" fontId="1" fillId="2" borderId="131" xfId="0" applyNumberFormat="1" applyFont="1" applyFill="1" applyBorder="1" applyAlignment="1">
      <alignment horizontal="left" vertical="center" wrapText="1"/>
    </xf>
    <xf numFmtId="0" fontId="4" fillId="2" borderId="131" xfId="0" applyFont="1" applyFill="1" applyBorder="1" applyAlignment="1">
      <alignment vertical="center" wrapText="1"/>
    </xf>
    <xf numFmtId="0" fontId="1" fillId="2" borderId="131" xfId="0" applyFont="1" applyFill="1" applyBorder="1" applyAlignment="1">
      <alignment horizontal="left" vertical="center" wrapText="1"/>
    </xf>
    <xf numFmtId="167" fontId="1" fillId="2" borderId="131" xfId="0" applyNumberFormat="1" applyFont="1" applyFill="1" applyBorder="1" applyAlignment="1">
      <alignment horizontal="center" vertical="center"/>
    </xf>
    <xf numFmtId="49" fontId="1" fillId="2" borderId="131" xfId="0" applyNumberFormat="1" applyFont="1" applyFill="1" applyBorder="1" applyAlignment="1">
      <alignment horizontal="left" vertical="center" wrapText="1"/>
    </xf>
    <xf numFmtId="9" fontId="1" fillId="2" borderId="131" xfId="0" applyNumberFormat="1" applyFont="1" applyFill="1" applyBorder="1" applyAlignment="1">
      <alignment horizontal="center" vertical="center"/>
    </xf>
    <xf numFmtId="0" fontId="40" fillId="0" borderId="91" xfId="0" applyFont="1" applyBorder="1" applyAlignment="1">
      <alignment horizontal="center"/>
    </xf>
    <xf numFmtId="49" fontId="37" fillId="3" borderId="91" xfId="0" applyNumberFormat="1" applyFont="1" applyFill="1" applyBorder="1" applyAlignment="1">
      <alignment horizontal="center" vertical="center"/>
    </xf>
    <xf numFmtId="0" fontId="37" fillId="3" borderId="91" xfId="0" applyFont="1" applyFill="1" applyBorder="1" applyAlignment="1">
      <alignment horizontal="center" vertical="center"/>
    </xf>
    <xf numFmtId="49" fontId="4" fillId="2" borderId="91" xfId="0" applyNumberFormat="1" applyFont="1" applyFill="1" applyBorder="1" applyAlignment="1">
      <alignment horizontal="center" vertical="center" wrapText="1"/>
    </xf>
    <xf numFmtId="0" fontId="4" fillId="2" borderId="91" xfId="0" applyFont="1" applyFill="1" applyBorder="1" applyAlignment="1">
      <alignment horizontal="center" vertical="center" wrapText="1"/>
    </xf>
    <xf numFmtId="49" fontId="4" fillId="2" borderId="91" xfId="0" applyNumberFormat="1" applyFont="1" applyFill="1" applyBorder="1" applyAlignment="1">
      <alignment horizontal="center" vertical="center"/>
    </xf>
    <xf numFmtId="0" fontId="4" fillId="2" borderId="91" xfId="0" applyFont="1" applyFill="1" applyBorder="1" applyAlignment="1">
      <alignment horizontal="center" vertical="center"/>
    </xf>
    <xf numFmtId="49" fontId="37" fillId="2" borderId="91" xfId="0" applyNumberFormat="1" applyFont="1" applyFill="1" applyBorder="1" applyAlignment="1">
      <alignment horizontal="center" vertical="center"/>
    </xf>
    <xf numFmtId="0" fontId="37" fillId="2" borderId="91" xfId="0" applyFont="1" applyFill="1" applyBorder="1" applyAlignment="1">
      <alignment horizontal="center" vertical="center"/>
    </xf>
    <xf numFmtId="0" fontId="1" fillId="2" borderId="91" xfId="0" applyFont="1" applyFill="1" applyBorder="1" applyAlignment="1">
      <alignment horizontal="left"/>
    </xf>
    <xf numFmtId="0" fontId="44" fillId="0" borderId="131" xfId="0" applyFont="1" applyBorder="1"/>
    <xf numFmtId="0" fontId="4" fillId="0" borderId="131" xfId="0" applyFont="1" applyBorder="1"/>
    <xf numFmtId="0" fontId="1" fillId="2" borderId="131" xfId="0" applyFont="1" applyFill="1" applyBorder="1" applyAlignment="1">
      <alignment horizontal="left"/>
    </xf>
    <xf numFmtId="167" fontId="1" fillId="2" borderId="131" xfId="0" applyNumberFormat="1" applyFont="1" applyFill="1" applyBorder="1" applyAlignment="1">
      <alignment horizontal="center" vertical="center"/>
    </xf>
    <xf numFmtId="49" fontId="43" fillId="0" borderId="131" xfId="0" applyNumberFormat="1" applyFont="1" applyBorder="1" applyAlignment="1">
      <alignment horizontal="center" vertical="center"/>
    </xf>
    <xf numFmtId="49" fontId="43" fillId="0" borderId="131" xfId="0" applyNumberFormat="1" applyFont="1" applyBorder="1" applyAlignment="1">
      <alignment horizontal="center" vertical="center"/>
    </xf>
    <xf numFmtId="0" fontId="43" fillId="2" borderId="131" xfId="0" applyFont="1" applyFill="1" applyBorder="1" applyAlignment="1">
      <alignment horizontal="center" vertical="center"/>
    </xf>
    <xf numFmtId="49" fontId="5" fillId="0" borderId="131" xfId="0" applyNumberFormat="1" applyFont="1" applyBorder="1" applyAlignment="1">
      <alignment horizontal="center" vertical="center"/>
    </xf>
    <xf numFmtId="0" fontId="1" fillId="2" borderId="131" xfId="0" applyFont="1" applyFill="1" applyBorder="1" applyAlignment="1">
      <alignment horizontal="left" wrapText="1"/>
    </xf>
    <xf numFmtId="0" fontId="1" fillId="2" borderId="131" xfId="0" applyFont="1" applyFill="1" applyBorder="1" applyAlignment="1">
      <alignment horizontal="left" vertical="center" wrapText="1"/>
    </xf>
    <xf numFmtId="0" fontId="1" fillId="0" borderId="91" xfId="0" applyFont="1" applyBorder="1"/>
    <xf numFmtId="0" fontId="1" fillId="0" borderId="91" xfId="0" applyNumberFormat="1" applyFont="1" applyBorder="1"/>
    <xf numFmtId="44" fontId="1" fillId="2" borderId="131" xfId="3" applyFont="1" applyFill="1" applyBorder="1" applyAlignment="1">
      <alignment horizontal="left" vertical="center"/>
    </xf>
    <xf numFmtId="9" fontId="1" fillId="0" borderId="131" xfId="0" applyNumberFormat="1" applyFont="1" applyBorder="1" applyAlignment="1">
      <alignment horizontal="center" vertical="center"/>
    </xf>
    <xf numFmtId="0" fontId="57" fillId="0" borderId="131" xfId="0" applyFont="1" applyBorder="1" applyAlignment="1">
      <alignment horizontal="left" vertical="center" wrapText="1"/>
    </xf>
    <xf numFmtId="49" fontId="1" fillId="2" borderId="131" xfId="0" applyNumberFormat="1" applyFont="1" applyFill="1" applyBorder="1" applyAlignment="1">
      <alignment vertical="center"/>
    </xf>
    <xf numFmtId="49" fontId="1" fillId="2" borderId="131" xfId="0" applyNumberFormat="1" applyFont="1" applyFill="1" applyBorder="1" applyAlignment="1">
      <alignment vertical="center" wrapText="1"/>
    </xf>
    <xf numFmtId="49" fontId="41" fillId="13" borderId="131" xfId="0" applyNumberFormat="1" applyFont="1" applyFill="1" applyBorder="1" applyAlignment="1">
      <alignment horizontal="center" wrapText="1"/>
    </xf>
    <xf numFmtId="0" fontId="42" fillId="13" borderId="131" xfId="0" applyFont="1" applyFill="1" applyBorder="1"/>
    <xf numFmtId="10" fontId="3" fillId="13" borderId="131" xfId="1" applyNumberFormat="1" applyFont="1" applyFill="1" applyBorder="1" applyAlignment="1">
      <alignment horizontal="right"/>
    </xf>
    <xf numFmtId="49" fontId="44" fillId="2" borderId="120" xfId="0" applyNumberFormat="1" applyFont="1" applyFill="1" applyBorder="1" applyAlignment="1">
      <alignment horizontal="left" vertical="top"/>
    </xf>
    <xf numFmtId="3" fontId="44" fillId="0" borderId="120" xfId="0" applyNumberFormat="1" applyFont="1" applyBorder="1"/>
    <xf numFmtId="3" fontId="44" fillId="0" borderId="131" xfId="0" applyNumberFormat="1" applyFont="1" applyBorder="1"/>
    <xf numFmtId="0" fontId="44" fillId="13" borderId="131" xfId="0" applyFont="1" applyFill="1" applyBorder="1" applyAlignment="1">
      <alignment vertical="top"/>
    </xf>
    <xf numFmtId="0" fontId="44" fillId="0" borderId="89" xfId="0" applyFont="1" applyBorder="1"/>
    <xf numFmtId="0" fontId="44" fillId="0" borderId="3" xfId="0" applyFont="1" applyBorder="1"/>
    <xf numFmtId="0" fontId="44" fillId="2" borderId="90" xfId="0" applyFont="1" applyFill="1" applyBorder="1"/>
    <xf numFmtId="0" fontId="44" fillId="0" borderId="91" xfId="0" applyFont="1" applyBorder="1"/>
    <xf numFmtId="0" fontId="44" fillId="0" borderId="10" xfId="0" applyFont="1" applyBorder="1"/>
    <xf numFmtId="0" fontId="44" fillId="2" borderId="92" xfId="0" applyFont="1" applyFill="1" applyBorder="1"/>
    <xf numFmtId="0" fontId="44" fillId="0" borderId="93" xfId="0" applyFont="1" applyBorder="1"/>
    <xf numFmtId="0" fontId="44" fillId="0" borderId="31" xfId="0" applyFont="1" applyBorder="1"/>
    <xf numFmtId="0" fontId="44" fillId="2" borderId="98" xfId="0" applyFont="1" applyFill="1" applyBorder="1"/>
    <xf numFmtId="0" fontId="44" fillId="0" borderId="99" xfId="0" applyFont="1" applyBorder="1"/>
    <xf numFmtId="0" fontId="44" fillId="0" borderId="100" xfId="0" applyFont="1" applyBorder="1"/>
    <xf numFmtId="0" fontId="44" fillId="0" borderId="101" xfId="0" applyFont="1" applyBorder="1"/>
    <xf numFmtId="0" fontId="44" fillId="2" borderId="102" xfId="0" applyFont="1" applyFill="1" applyBorder="1"/>
    <xf numFmtId="0" fontId="44" fillId="0" borderId="103" xfId="0" applyFont="1" applyBorder="1"/>
    <xf numFmtId="0" fontId="44" fillId="0" borderId="72" xfId="0" applyFont="1" applyBorder="1"/>
    <xf numFmtId="0" fontId="44" fillId="0" borderId="104" xfId="0" applyFont="1" applyBorder="1"/>
    <xf numFmtId="0" fontId="44" fillId="2" borderId="105" xfId="0" applyFont="1" applyFill="1" applyBorder="1"/>
    <xf numFmtId="0" fontId="44" fillId="0" borderId="106" xfId="0" applyFont="1" applyBorder="1"/>
    <xf numFmtId="0" fontId="44" fillId="0" borderId="107" xfId="0" applyFont="1" applyBorder="1"/>
    <xf numFmtId="0" fontId="44" fillId="0" borderId="108" xfId="0" applyFont="1" applyBorder="1"/>
    <xf numFmtId="49" fontId="3" fillId="3" borderId="4" xfId="0" applyNumberFormat="1" applyFont="1" applyFill="1" applyBorder="1" applyAlignment="1">
      <alignment horizontal="center" vertical="center"/>
    </xf>
    <xf numFmtId="0" fontId="3" fillId="2" borderId="4" xfId="0" applyNumberFormat="1" applyFont="1" applyFill="1" applyBorder="1" applyAlignment="1">
      <alignment horizontal="center"/>
    </xf>
    <xf numFmtId="49" fontId="22" fillId="2" borderId="4" xfId="0" applyNumberFormat="1"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4" xfId="0" applyNumberFormat="1" applyFont="1" applyFill="1" applyBorder="1" applyAlignment="1">
      <alignment horizontal="center" vertical="center" wrapText="1"/>
    </xf>
    <xf numFmtId="49" fontId="3" fillId="2" borderId="4" xfId="0" applyNumberFormat="1" applyFont="1" applyFill="1" applyBorder="1" applyAlignment="1">
      <alignment vertical="center" wrapText="1"/>
    </xf>
    <xf numFmtId="0" fontId="3" fillId="2" borderId="4" xfId="0" applyFont="1" applyFill="1" applyBorder="1" applyAlignment="1">
      <alignment vertical="center"/>
    </xf>
    <xf numFmtId="49" fontId="3" fillId="2" borderId="4" xfId="0" applyNumberFormat="1" applyFont="1" applyFill="1" applyBorder="1" applyAlignment="1">
      <alignment vertical="center"/>
    </xf>
    <xf numFmtId="0" fontId="3" fillId="2" borderId="4" xfId="0" applyFont="1" applyFill="1" applyBorder="1" applyAlignment="1">
      <alignment vertical="center" wrapText="1"/>
    </xf>
    <xf numFmtId="49" fontId="3" fillId="0" borderId="4" xfId="0" applyNumberFormat="1" applyFont="1" applyBorder="1" applyAlignment="1">
      <alignment horizontal="left"/>
    </xf>
    <xf numFmtId="0" fontId="3" fillId="0" borderId="4" xfId="0" applyFont="1" applyBorder="1" applyAlignment="1">
      <alignment horizontal="left"/>
    </xf>
    <xf numFmtId="49" fontId="3" fillId="2" borderId="4" xfId="0" applyNumberFormat="1" applyFont="1" applyFill="1" applyBorder="1" applyAlignment="1">
      <alignment horizontal="left" vertical="center" wrapText="1"/>
    </xf>
    <xf numFmtId="0" fontId="3" fillId="2" borderId="4" xfId="0" applyFont="1" applyFill="1" applyBorder="1" applyAlignment="1">
      <alignment horizontal="left" vertical="center" wrapText="1"/>
    </xf>
    <xf numFmtId="49" fontId="22" fillId="2" borderId="5" xfId="0" applyNumberFormat="1" applyFont="1" applyFill="1" applyBorder="1" applyAlignment="1">
      <alignment horizontal="left" vertical="center" wrapText="1"/>
    </xf>
    <xf numFmtId="0" fontId="22" fillId="2" borderId="6" xfId="0" applyFont="1" applyFill="1" applyBorder="1" applyAlignment="1">
      <alignment horizontal="left" vertical="center" wrapText="1"/>
    </xf>
    <xf numFmtId="0" fontId="22" fillId="2" borderId="7" xfId="0" applyFont="1" applyFill="1" applyBorder="1" applyAlignment="1">
      <alignment horizontal="left" vertical="center" wrapText="1"/>
    </xf>
    <xf numFmtId="0" fontId="3" fillId="2" borderId="112" xfId="0" applyFont="1" applyFill="1" applyBorder="1" applyAlignment="1">
      <alignment horizontal="center"/>
    </xf>
    <xf numFmtId="0" fontId="22" fillId="2" borderId="5"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2" fillId="2" borderId="6" xfId="0" applyFont="1" applyFill="1" applyBorder="1" applyAlignment="1">
      <alignment horizontal="center" vertical="center" wrapText="1"/>
    </xf>
    <xf numFmtId="0" fontId="22" fillId="2" borderId="7" xfId="0" applyFont="1" applyFill="1" applyBorder="1" applyAlignment="1">
      <alignment horizontal="left" vertical="center" wrapText="1"/>
    </xf>
    <xf numFmtId="0" fontId="44" fillId="2" borderId="113" xfId="0" applyFont="1" applyFill="1" applyBorder="1"/>
    <xf numFmtId="0" fontId="58" fillId="2" borderId="5" xfId="0" applyFont="1" applyFill="1" applyBorder="1" applyAlignment="1">
      <alignment horizontal="center" vertical="center" wrapText="1"/>
    </xf>
    <xf numFmtId="0" fontId="58" fillId="2" borderId="6" xfId="0" applyFont="1" applyFill="1" applyBorder="1" applyAlignment="1">
      <alignment horizontal="center" vertical="center" wrapText="1"/>
    </xf>
    <xf numFmtId="0" fontId="58" fillId="2" borderId="7" xfId="0" applyFont="1" applyFill="1" applyBorder="1" applyAlignment="1">
      <alignment horizontal="center" vertical="center" wrapText="1"/>
    </xf>
    <xf numFmtId="49" fontId="3" fillId="3" borderId="4" xfId="0" applyNumberFormat="1" applyFont="1" applyFill="1" applyBorder="1" applyAlignment="1">
      <alignment horizontal="center"/>
    </xf>
    <xf numFmtId="0" fontId="3" fillId="2" borderId="4" xfId="0" applyNumberFormat="1" applyFont="1" applyFill="1" applyBorder="1" applyAlignment="1">
      <alignment horizontal="center" vertical="center"/>
    </xf>
    <xf numFmtId="49" fontId="22" fillId="2" borderId="4" xfId="0" applyNumberFormat="1" applyFont="1" applyFill="1" applyBorder="1" applyAlignment="1">
      <alignment horizontal="left" vertical="center"/>
    </xf>
    <xf numFmtId="0" fontId="22" fillId="2" borderId="4" xfId="0" applyFont="1" applyFill="1" applyBorder="1" applyAlignment="1">
      <alignment horizontal="left" vertical="center"/>
    </xf>
    <xf numFmtId="49" fontId="3" fillId="2" borderId="4" xfId="0" applyNumberFormat="1" applyFont="1" applyFill="1" applyBorder="1" applyAlignment="1">
      <alignment horizontal="left" vertical="center"/>
    </xf>
    <xf numFmtId="0" fontId="3" fillId="2" borderId="4" xfId="0" applyFont="1" applyFill="1" applyBorder="1" applyAlignment="1">
      <alignment horizontal="left" vertical="center"/>
    </xf>
    <xf numFmtId="49" fontId="3" fillId="2" borderId="115" xfId="0" applyNumberFormat="1" applyFont="1" applyFill="1" applyBorder="1" applyAlignment="1">
      <alignment horizontal="left" vertical="center"/>
    </xf>
    <xf numFmtId="0" fontId="3" fillId="2" borderId="116" xfId="0" applyFont="1" applyFill="1" applyBorder="1" applyAlignment="1">
      <alignment horizontal="left" vertical="center"/>
    </xf>
    <xf numFmtId="0" fontId="3" fillId="2" borderId="117" xfId="0" applyFont="1" applyFill="1" applyBorder="1" applyAlignment="1">
      <alignment horizontal="left" vertical="center"/>
    </xf>
    <xf numFmtId="49" fontId="3" fillId="2" borderId="115" xfId="0" applyNumberFormat="1" applyFont="1" applyFill="1" applyBorder="1" applyAlignment="1">
      <alignment horizontal="left" vertical="center" wrapText="1"/>
    </xf>
    <xf numFmtId="0" fontId="3" fillId="2" borderId="116" xfId="0" applyFont="1" applyFill="1" applyBorder="1" applyAlignment="1">
      <alignment horizontal="left" vertical="center" wrapText="1"/>
    </xf>
    <xf numFmtId="0" fontId="3" fillId="2" borderId="117" xfId="0" applyFont="1" applyFill="1" applyBorder="1" applyAlignment="1">
      <alignment horizontal="left" vertical="center" wrapText="1"/>
    </xf>
    <xf numFmtId="49" fontId="3" fillId="2" borderId="4" xfId="0" applyNumberFormat="1" applyFont="1" applyFill="1" applyBorder="1" applyAlignment="1">
      <alignment horizontal="left" wrapText="1"/>
    </xf>
    <xf numFmtId="0" fontId="3" fillId="2" borderId="4" xfId="0" applyFont="1" applyFill="1" applyBorder="1" applyAlignment="1">
      <alignment horizontal="left" wrapText="1"/>
    </xf>
    <xf numFmtId="49" fontId="3" fillId="0" borderId="115" xfId="0" applyNumberFormat="1" applyFont="1" applyBorder="1" applyAlignment="1">
      <alignment horizontal="left"/>
    </xf>
    <xf numFmtId="0" fontId="3" fillId="0" borderId="116" xfId="0" applyFont="1" applyBorder="1" applyAlignment="1">
      <alignment horizontal="left"/>
    </xf>
    <xf numFmtId="0" fontId="3" fillId="0" borderId="117" xfId="0" applyFont="1" applyBorder="1" applyAlignment="1">
      <alignment horizontal="left"/>
    </xf>
    <xf numFmtId="49" fontId="3" fillId="2" borderId="115" xfId="0" applyNumberFormat="1" applyFont="1" applyFill="1" applyBorder="1" applyAlignment="1">
      <alignment horizontal="left" wrapText="1"/>
    </xf>
    <xf numFmtId="0" fontId="3" fillId="2" borderId="116" xfId="0" applyFont="1" applyFill="1" applyBorder="1" applyAlignment="1">
      <alignment horizontal="left" wrapText="1"/>
    </xf>
    <xf numFmtId="0" fontId="3" fillId="2" borderId="117" xfId="0" applyFont="1" applyFill="1" applyBorder="1" applyAlignment="1">
      <alignment horizontal="left" wrapText="1"/>
    </xf>
  </cellXfs>
  <cellStyles count="4">
    <cellStyle name="Millares" xfId="2" builtinId="3"/>
    <cellStyle name="Moneda" xfId="3" builtinId="4"/>
    <cellStyle name="Normal" xfId="0" builtinId="0"/>
    <cellStyle name="Porcentaje" xfId="1" builtinId="5"/>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9CC2E5"/>
      <rgbColor rgb="FFAAAAAA"/>
      <rgbColor rgb="FF153553"/>
      <rgbColor rgb="FF222A35"/>
      <rgbColor rgb="FF002060"/>
      <rgbColor rgb="FF0070C0"/>
      <rgbColor rgb="FFFFFF00"/>
      <rgbColor rgb="FF0563C1"/>
      <rgbColor rgb="FF001D35"/>
      <rgbColor rgb="FF0000FF"/>
      <rgbColor rgb="FFBDD6EE"/>
      <rgbColor rgb="FFB4C6E7"/>
      <rgbColor rgb="FFD9DCE1"/>
      <rgbColor rgb="FFDEEAF6"/>
      <rgbColor rgb="FFFF0000"/>
      <rgbColor rgb="FFF7CAAC"/>
      <rgbColor rgb="FFFFE598"/>
      <rgbColor rgb="FF00B0F0"/>
      <rgbColor rgb="FFE7E6E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238</xdr:rowOff>
    </xdr:from>
    <xdr:to>
      <xdr:col>15</xdr:col>
      <xdr:colOff>57150</xdr:colOff>
      <xdr:row>52</xdr:row>
      <xdr:rowOff>133588</xdr:rowOff>
    </xdr:to>
    <xdr:sp macro="" textlink="">
      <xdr:nvSpPr>
        <xdr:cNvPr id="2" name="Rectángulo 2">
          <a:extLst>
            <a:ext uri="{FF2B5EF4-FFF2-40B4-BE49-F238E27FC236}">
              <a16:creationId xmlns:a16="http://schemas.microsoft.com/office/drawing/2014/main" id="{00000000-0008-0000-0000-000002000000}"/>
            </a:ext>
          </a:extLst>
        </xdr:cNvPr>
        <xdr:cNvSpPr/>
      </xdr:nvSpPr>
      <xdr:spPr>
        <a:xfrm>
          <a:off x="876300" y="1658858"/>
          <a:ext cx="12325350" cy="9086851"/>
        </a:xfrm>
        <a:prstGeom prst="rect">
          <a:avLst/>
        </a:prstGeom>
        <a:solidFill>
          <a:srgbClr val="FFFFFF"/>
        </a:solidFill>
        <a:ln w="38100" cap="flat">
          <a:solidFill>
            <a:srgbClr val="002060"/>
          </a:solidFill>
          <a:prstDash val="solid"/>
          <a:miter lim="800000"/>
        </a:ln>
        <a:effectLst>
          <a:outerShdw blurRad="50800" dist="27940" dir="5400000" rotWithShape="0">
            <a:srgbClr val="000000">
              <a:alpha val="32000"/>
            </a:srgbClr>
          </a:outerShdw>
        </a:effectLst>
      </xdr:spPr>
      <xdr:txBody>
        <a:bodyPr/>
        <a:lstStyle/>
        <a:p>
          <a:endParaRPr/>
        </a:p>
      </xdr:txBody>
    </xdr:sp>
    <xdr:clientData/>
  </xdr:twoCellAnchor>
  <xdr:twoCellAnchor>
    <xdr:from>
      <xdr:col>3</xdr:col>
      <xdr:colOff>481337</xdr:colOff>
      <xdr:row>5</xdr:row>
      <xdr:rowOff>137525</xdr:rowOff>
    </xdr:from>
    <xdr:to>
      <xdr:col>10</xdr:col>
      <xdr:colOff>826777</xdr:colOff>
      <xdr:row>57</xdr:row>
      <xdr:rowOff>5191</xdr:rowOff>
    </xdr:to>
    <xdr:sp macro="" textlink="">
      <xdr:nvSpPr>
        <xdr:cNvPr id="3" name="Rectángulo 3">
          <a:extLst>
            <a:ext uri="{FF2B5EF4-FFF2-40B4-BE49-F238E27FC236}">
              <a16:creationId xmlns:a16="http://schemas.microsoft.com/office/drawing/2014/main" id="{00000000-0008-0000-0000-000003000000}"/>
            </a:ext>
          </a:extLst>
        </xdr:cNvPr>
        <xdr:cNvSpPr txBox="1"/>
      </xdr:nvSpPr>
      <xdr:spPr>
        <a:xfrm>
          <a:off x="3110237" y="1796145"/>
          <a:ext cx="6479541" cy="9773667"/>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none" lIns="45719" tIns="45719" rIns="45719" bIns="45719" numCol="1" anchor="t">
          <a:spAutoFit/>
        </a:bodyPr>
        <a:lstStyle/>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r>
            <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rPr>
            <a:t>PROCESO GESTIÓN GERENCIAL</a:t>
          </a:r>
        </a:p>
        <a:p>
          <a:pPr marL="0" marR="0" indent="0" algn="ctr" defTabSz="914400" latinLnBrk="0">
            <a:lnSpc>
              <a:spcPct val="100000"/>
            </a:lnSpc>
            <a:spcBef>
              <a:spcPts val="0"/>
            </a:spcBef>
            <a:spcAft>
              <a:spcPts val="0"/>
            </a:spcAft>
            <a:buClrTx/>
            <a:buSzTx/>
            <a:buFontTx/>
            <a:buNone/>
            <a:defRPr sz="1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endParaRPr sz="1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endPar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endPar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r>
            <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rPr>
            <a:t>PLAN DE GESTIÓN Y RESULTADOS</a:t>
          </a:r>
        </a:p>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r>
            <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rPr>
            <a:t>EMELCE S.A E.S.P</a:t>
          </a:r>
        </a:p>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endPar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1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endParaRPr sz="1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endPar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r>
            <a:rPr sz="5400" b="1" i="0" u="none" strike="noStrike" cap="none" spc="0" baseline="0">
              <a:solidFill>
                <a:srgbClr val="000000"/>
              </a:solidFill>
              <a:effectLst>
                <a:outerShdw blurRad="38100" dist="19050" dir="2700000" rotWithShape="0">
                  <a:srgbClr val="000000">
                    <a:alpha val="40000"/>
                  </a:srgbClr>
                </a:outerShdw>
              </a:effectLst>
              <a:uFillTx/>
              <a:latin typeface="Century Gothic"/>
              <a:ea typeface="Century Gothic"/>
              <a:cs typeface="Century Gothic"/>
              <a:sym typeface="Century Gothic"/>
            </a:rPr>
            <a:t>2025 - 2028</a:t>
          </a:r>
        </a:p>
      </xdr:txBody>
    </xdr:sp>
    <xdr:clientData/>
  </xdr:twoCellAnchor>
  <xdr:twoCellAnchor>
    <xdr:from>
      <xdr:col>0</xdr:col>
      <xdr:colOff>309880</xdr:colOff>
      <xdr:row>0</xdr:row>
      <xdr:rowOff>25400</xdr:rowOff>
    </xdr:from>
    <xdr:to>
      <xdr:col>2</xdr:col>
      <xdr:colOff>433723</xdr:colOff>
      <xdr:row>2</xdr:row>
      <xdr:rowOff>530225</xdr:rowOff>
    </xdr:to>
    <xdr:pic>
      <xdr:nvPicPr>
        <xdr:cNvPr id="4" name="Logo Emelce.png" descr="Logo Emelce.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09880" y="25400"/>
          <a:ext cx="1876444" cy="1009651"/>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309880</xdr:colOff>
      <xdr:row>0</xdr:row>
      <xdr:rowOff>25400</xdr:rowOff>
    </xdr:from>
    <xdr:to>
      <xdr:col>2</xdr:col>
      <xdr:colOff>433723</xdr:colOff>
      <xdr:row>2</xdr:row>
      <xdr:rowOff>148590</xdr:rowOff>
    </xdr:to>
    <xdr:pic>
      <xdr:nvPicPr>
        <xdr:cNvPr id="6" name="Logo Emelce.png" descr="Logo Emelce.png">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723900</xdr:colOff>
      <xdr:row>2</xdr:row>
      <xdr:rowOff>677941</xdr:rowOff>
    </xdr:from>
    <xdr:to>
      <xdr:col>15</xdr:col>
      <xdr:colOff>57150</xdr:colOff>
      <xdr:row>32</xdr:row>
      <xdr:rowOff>154701</xdr:rowOff>
    </xdr:to>
    <xdr:sp macro="" textlink="">
      <xdr:nvSpPr>
        <xdr:cNvPr id="8" name="Rectángulo 1">
          <a:extLst>
            <a:ext uri="{FF2B5EF4-FFF2-40B4-BE49-F238E27FC236}">
              <a16:creationId xmlns:a16="http://schemas.microsoft.com/office/drawing/2014/main" id="{00000000-0008-0000-0200-000008000000}"/>
            </a:ext>
          </a:extLst>
        </xdr:cNvPr>
        <xdr:cNvSpPr/>
      </xdr:nvSpPr>
      <xdr:spPr>
        <a:xfrm>
          <a:off x="723900" y="1182766"/>
          <a:ext cx="12477750" cy="5871211"/>
        </a:xfrm>
        <a:prstGeom prst="rect">
          <a:avLst/>
        </a:prstGeom>
        <a:solidFill>
          <a:srgbClr val="FFFFFF"/>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Arial"/>
              <a:ea typeface="Arial"/>
              <a:cs typeface="Arial"/>
              <a:sym typeface="Arial"/>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Arial"/>
              <a:ea typeface="Arial"/>
              <a:cs typeface="Arial"/>
              <a:sym typeface="Arial"/>
            </a:rPr>
            <a:t>TABLA DE CONTENIDO</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Arial"/>
              <a:ea typeface="Arial"/>
              <a:cs typeface="Arial"/>
              <a:sym typeface="Arial"/>
            </a:defRPr>
          </a:pPr>
          <a:endParaRPr sz="1600" b="0" i="0" u="none" strike="noStrike" cap="none" spc="0" baseline="0">
            <a:solidFill>
              <a:srgbClr val="153553"/>
            </a:solidFill>
            <a:effectLst>
              <a:outerShdw blurRad="38100" dist="25400" dir="5400000" rotWithShape="0">
                <a:srgbClr val="6E747A">
                  <a:alpha val="43000"/>
                </a:srgbClr>
              </a:outerShdw>
            </a:effectLst>
            <a:uFillTx/>
            <a:latin typeface="Arial"/>
            <a:ea typeface="Arial"/>
            <a:cs typeface="Arial"/>
            <a:sym typeface="Arial"/>
          </a:endParaRP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Arial"/>
              <a:ea typeface="Arial"/>
              <a:cs typeface="Arial"/>
              <a:sym typeface="Arial"/>
            </a:defRPr>
          </a:pPr>
          <a:endParaRPr sz="1600" b="0" i="0" u="none" strike="noStrike" cap="none" spc="0" baseline="0">
            <a:solidFill>
              <a:srgbClr val="153553"/>
            </a:solidFill>
            <a:effectLst>
              <a:outerShdw blurRad="38100" dist="25400" dir="5400000" rotWithShape="0">
                <a:srgbClr val="6E747A">
                  <a:alpha val="43000"/>
                </a:srgbClr>
              </a:outerShdw>
            </a:effectLst>
            <a:uFillTx/>
            <a:latin typeface="Arial"/>
            <a:ea typeface="Arial"/>
            <a:cs typeface="Arial"/>
            <a:sym typeface="Arial"/>
          </a:endParaRP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 PROPÓSITO</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2. ALCANCE</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3. CONTEXTO</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4. PLATAFORMA ESTRATÉGICA</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5. OBJETIVOS ESTRATÉGICOS.</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6. INTERRELACIÓN DE OBJETIVOS</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7. OBJETIVOS Y METAS</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8. LINEAMIENTO DE INDICADORES PARA ALCANZAR LOS OBJETIVOS</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9. DOFA</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10. RELACIÓN DOFA</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11. CRONOGRAMA PLAN ESTRATÉGICO. </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12. PROYECCIÓN DE VENTAS.</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13. PRESUPUESTO DE INGRESOS.</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14. PRESUPUESTO DE GASTOS.</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15. FLUJO DE CAJA.</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16. PRESUPUESTO.</a:t>
          </a:r>
        </a:p>
        <a:p>
          <a:pPr marL="0" marR="0" indent="0" algn="l" defTabSz="914400" latinLnBrk="0">
            <a:lnSpc>
              <a:spcPct val="100000"/>
            </a:lnSpc>
            <a:spcBef>
              <a:spcPts val="0"/>
            </a:spcBef>
            <a:spcAft>
              <a:spcPts val="0"/>
            </a:spcAft>
            <a:buClrTx/>
            <a:buSzTx/>
            <a:buFontTx/>
            <a:buNone/>
            <a:def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defRPr>
          </a:pPr>
          <a:r>
            <a:rPr sz="1600" b="0" i="0" u="none" strike="noStrike" cap="none" spc="0" baseline="0">
              <a:solidFill>
                <a:srgbClr val="153553"/>
              </a:solidFill>
              <a:effectLst>
                <a:outerShdw blurRad="38100" dist="25400" dir="5400000" rotWithShape="0">
                  <a:srgbClr val="6E747A">
                    <a:alpha val="43000"/>
                  </a:srgbClr>
                </a:outerShdw>
              </a:effectLst>
              <a:uFillTx/>
              <a:latin typeface="Century Gothic"/>
              <a:ea typeface="Century Gothic"/>
              <a:cs typeface="Century Gothic"/>
              <a:sym typeface="Century Gothic"/>
            </a:rPr>
            <a:t>17. PLAN DE INVERSIONES.</a:t>
          </a:r>
        </a:p>
      </xdr:txBody>
    </xdr:sp>
    <xdr:clientData/>
  </xdr:twoCellAnchor>
  <xdr:twoCellAnchor>
    <xdr:from>
      <xdr:col>0</xdr:col>
      <xdr:colOff>857250</xdr:colOff>
      <xdr:row>3</xdr:row>
      <xdr:rowOff>220233</xdr:rowOff>
    </xdr:from>
    <xdr:to>
      <xdr:col>15</xdr:col>
      <xdr:colOff>98425</xdr:colOff>
      <xdr:row>6</xdr:row>
      <xdr:rowOff>154574</xdr:rowOff>
    </xdr:to>
    <xdr:sp macro="" textlink="">
      <xdr:nvSpPr>
        <xdr:cNvPr id="9" name="11 Rectángulo">
          <a:extLst>
            <a:ext uri="{FF2B5EF4-FFF2-40B4-BE49-F238E27FC236}">
              <a16:creationId xmlns:a16="http://schemas.microsoft.com/office/drawing/2014/main" id="{00000000-0008-0000-0200-000009000000}"/>
            </a:ext>
          </a:extLst>
        </xdr:cNvPr>
        <xdr:cNvSpPr/>
      </xdr:nvSpPr>
      <xdr:spPr>
        <a:xfrm>
          <a:off x="857250" y="1528333"/>
          <a:ext cx="12385675"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Tabla de contenido</a:t>
          </a:r>
        </a:p>
      </xdr:txBody>
    </xdr:sp>
    <xdr:clientData/>
  </xdr:twoCellAnchor>
  <xdr:twoCellAnchor>
    <xdr:from>
      <xdr:col>0</xdr:col>
      <xdr:colOff>309880</xdr:colOff>
      <xdr:row>0</xdr:row>
      <xdr:rowOff>25400</xdr:rowOff>
    </xdr:from>
    <xdr:to>
      <xdr:col>2</xdr:col>
      <xdr:colOff>433723</xdr:colOff>
      <xdr:row>2</xdr:row>
      <xdr:rowOff>530225</xdr:rowOff>
    </xdr:to>
    <xdr:pic>
      <xdr:nvPicPr>
        <xdr:cNvPr id="10" name="Logo Emelce.png" descr="Logo Emelce.png">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a:srcRect/>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750570</xdr:colOff>
      <xdr:row>4</xdr:row>
      <xdr:rowOff>20050</xdr:rowOff>
    </xdr:from>
    <xdr:to>
      <xdr:col>14</xdr:col>
      <xdr:colOff>788670</xdr:colOff>
      <xdr:row>7</xdr:row>
      <xdr:rowOff>21066</xdr:rowOff>
    </xdr:to>
    <xdr:sp macro="" textlink="">
      <xdr:nvSpPr>
        <xdr:cNvPr id="12" name="11 Rectángulo">
          <a:extLst>
            <a:ext uri="{FF2B5EF4-FFF2-40B4-BE49-F238E27FC236}">
              <a16:creationId xmlns:a16="http://schemas.microsoft.com/office/drawing/2014/main" id="{00000000-0008-0000-0300-00000C000000}"/>
            </a:ext>
          </a:extLst>
        </xdr:cNvPr>
        <xdr:cNvSpPr/>
      </xdr:nvSpPr>
      <xdr:spPr>
        <a:xfrm>
          <a:off x="750569" y="1512935"/>
          <a:ext cx="12306301"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I. Propósito.</a:t>
          </a:r>
        </a:p>
      </xdr:txBody>
    </xdr:sp>
    <xdr:clientData/>
  </xdr:twoCellAnchor>
  <xdr:twoCellAnchor>
    <xdr:from>
      <xdr:col>1</xdr:col>
      <xdr:colOff>9524</xdr:colOff>
      <xdr:row>7</xdr:row>
      <xdr:rowOff>57388</xdr:rowOff>
    </xdr:from>
    <xdr:to>
      <xdr:col>14</xdr:col>
      <xdr:colOff>777239</xdr:colOff>
      <xdr:row>29</xdr:row>
      <xdr:rowOff>171688</xdr:rowOff>
    </xdr:to>
    <xdr:grpSp>
      <xdr:nvGrpSpPr>
        <xdr:cNvPr id="15" name="CuadroTexto 2">
          <a:extLst>
            <a:ext uri="{FF2B5EF4-FFF2-40B4-BE49-F238E27FC236}">
              <a16:creationId xmlns:a16="http://schemas.microsoft.com/office/drawing/2014/main" id="{00000000-0008-0000-0300-00000F000000}"/>
            </a:ext>
          </a:extLst>
        </xdr:cNvPr>
        <xdr:cNvGrpSpPr/>
      </xdr:nvGrpSpPr>
      <xdr:grpSpPr>
        <a:xfrm>
          <a:off x="809624" y="2114788"/>
          <a:ext cx="11169015" cy="4305300"/>
          <a:chOff x="0" y="0"/>
          <a:chExt cx="12159614" cy="4305300"/>
        </a:xfrm>
      </xdr:grpSpPr>
      <xdr:sp macro="" textlink="">
        <xdr:nvSpPr>
          <xdr:cNvPr id="13" name="Rectángulo">
            <a:extLst>
              <a:ext uri="{FF2B5EF4-FFF2-40B4-BE49-F238E27FC236}">
                <a16:creationId xmlns:a16="http://schemas.microsoft.com/office/drawing/2014/main" id="{00000000-0008-0000-0300-00000D000000}"/>
              </a:ext>
            </a:extLst>
          </xdr:cNvPr>
          <xdr:cNvSpPr/>
        </xdr:nvSpPr>
        <xdr:spPr>
          <a:xfrm>
            <a:off x="-1" y="0"/>
            <a:ext cx="12159616" cy="4305300"/>
          </a:xfrm>
          <a:prstGeom prst="rect">
            <a:avLst/>
          </a:prstGeom>
          <a:solidFill>
            <a:srgbClr val="FFFFFF"/>
          </a:solidFill>
          <a:ln w="38100" cap="flat">
            <a:solidFill>
              <a:srgbClr val="002060"/>
            </a:solidFill>
            <a:prstDash val="solid"/>
            <a:miter lim="800000"/>
          </a:ln>
          <a:effectLst>
            <a:outerShdw blurRad="50800" dist="27940" dir="5400000" rotWithShape="0">
              <a:srgbClr val="000000">
                <a:alpha val="32000"/>
              </a:srgbClr>
            </a:outerShdw>
          </a:effectLst>
        </xdr:spPr>
        <xdr:txBody>
          <a:bodyPr/>
          <a:lstStyle/>
          <a:p>
            <a:endParaRPr/>
          </a:p>
        </xdr:txBody>
      </xdr:sp>
      <xdr:sp macro="" textlink="">
        <xdr:nvSpPr>
          <xdr:cNvPr id="14" name="El proposito del Plan de Gestion y Resultados de la Empresa de Energia del Guainia EMELCE S.A ESP es establecer un marco estrategico que guie la gestion Empresarial de la Entidad , definiendo objetivos, metas e indicadores para mejorar el desempeño y asi">
            <a:extLst>
              <a:ext uri="{FF2B5EF4-FFF2-40B4-BE49-F238E27FC236}">
                <a16:creationId xmlns:a16="http://schemas.microsoft.com/office/drawing/2014/main" id="{00000000-0008-0000-0300-00000E000000}"/>
              </a:ext>
            </a:extLst>
          </xdr:cNvPr>
          <xdr:cNvSpPr txBox="1"/>
        </xdr:nvSpPr>
        <xdr:spPr>
          <a:xfrm>
            <a:off x="45719" y="1248307"/>
            <a:ext cx="12068176" cy="1808686"/>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El proposito del Plan de Gestion y Resultados de la Empresa de Energia del Guainia EMELCE S.A ESP es establecer un marco estrategico que guie la gestion Empresarial de la Entidad , definiendo objetivos, metas e indicadores para mejorar el desempeño y asi alcanzar los resultados propuestos.</a:t>
            </a: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endParaRPr sz="1200" b="0" i="0" u="none" strike="noStrike" cap="none" spc="0" baseline="0">
              <a:solidFill>
                <a:srgbClr val="000000"/>
              </a:solidFill>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Así las cosas, el PGR ajustado para el periodo 2025-2028 se realizó con el objetivo de evaluar la situación actual de la empresa y realizar la proyección hacia la gestión integral deseada, mediante el cumplimiento de los Objetivos Estratégicos y  Estrategias que permitirán a través de las metas programadas a corto, mediano y largo plazo, direccionar integralmente la prestación de los servicios públicos Energia y el fortalecimiento de todas las partes interesadas de la organización. </a:t>
            </a:r>
          </a:p>
        </xdr:txBody>
      </xdr:sp>
    </xdr:grpSp>
    <xdr:clientData/>
  </xdr:twoCellAnchor>
  <xdr:twoCellAnchor>
    <xdr:from>
      <xdr:col>0</xdr:col>
      <xdr:colOff>309880</xdr:colOff>
      <xdr:row>0</xdr:row>
      <xdr:rowOff>25400</xdr:rowOff>
    </xdr:from>
    <xdr:to>
      <xdr:col>2</xdr:col>
      <xdr:colOff>433723</xdr:colOff>
      <xdr:row>2</xdr:row>
      <xdr:rowOff>530225</xdr:rowOff>
    </xdr:to>
    <xdr:pic>
      <xdr:nvPicPr>
        <xdr:cNvPr id="16" name="Logo Emelce.png" descr="Logo Emelce.png">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1"/>
        <a:srcRect/>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750570</xdr:colOff>
      <xdr:row>4</xdr:row>
      <xdr:rowOff>20129</xdr:rowOff>
    </xdr:from>
    <xdr:to>
      <xdr:col>14</xdr:col>
      <xdr:colOff>788670</xdr:colOff>
      <xdr:row>7</xdr:row>
      <xdr:rowOff>21145</xdr:rowOff>
    </xdr:to>
    <xdr:sp macro="" textlink="">
      <xdr:nvSpPr>
        <xdr:cNvPr id="18" name="11 Rectángulo">
          <a:extLst>
            <a:ext uri="{FF2B5EF4-FFF2-40B4-BE49-F238E27FC236}">
              <a16:creationId xmlns:a16="http://schemas.microsoft.com/office/drawing/2014/main" id="{00000000-0008-0000-0400-000012000000}"/>
            </a:ext>
          </a:extLst>
        </xdr:cNvPr>
        <xdr:cNvSpPr/>
      </xdr:nvSpPr>
      <xdr:spPr>
        <a:xfrm>
          <a:off x="750569" y="1511109"/>
          <a:ext cx="12306301"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2. Alcance.</a:t>
          </a:r>
        </a:p>
      </xdr:txBody>
    </xdr:sp>
    <xdr:clientData/>
  </xdr:twoCellAnchor>
  <xdr:twoCellAnchor>
    <xdr:from>
      <xdr:col>1</xdr:col>
      <xdr:colOff>9524</xdr:colOff>
      <xdr:row>7</xdr:row>
      <xdr:rowOff>57467</xdr:rowOff>
    </xdr:from>
    <xdr:to>
      <xdr:col>14</xdr:col>
      <xdr:colOff>777239</xdr:colOff>
      <xdr:row>29</xdr:row>
      <xdr:rowOff>171767</xdr:rowOff>
    </xdr:to>
    <xdr:grpSp>
      <xdr:nvGrpSpPr>
        <xdr:cNvPr id="21" name="CuadroTexto 5">
          <a:extLst>
            <a:ext uri="{FF2B5EF4-FFF2-40B4-BE49-F238E27FC236}">
              <a16:creationId xmlns:a16="http://schemas.microsoft.com/office/drawing/2014/main" id="{00000000-0008-0000-0400-000015000000}"/>
            </a:ext>
          </a:extLst>
        </xdr:cNvPr>
        <xdr:cNvGrpSpPr/>
      </xdr:nvGrpSpPr>
      <xdr:grpSpPr>
        <a:xfrm>
          <a:off x="809624" y="2114867"/>
          <a:ext cx="11169015" cy="4305300"/>
          <a:chOff x="0" y="0"/>
          <a:chExt cx="12159614" cy="4305300"/>
        </a:xfrm>
      </xdr:grpSpPr>
      <xdr:sp macro="" textlink="">
        <xdr:nvSpPr>
          <xdr:cNvPr id="19" name="Rectángulo">
            <a:extLst>
              <a:ext uri="{FF2B5EF4-FFF2-40B4-BE49-F238E27FC236}">
                <a16:creationId xmlns:a16="http://schemas.microsoft.com/office/drawing/2014/main" id="{00000000-0008-0000-0400-000013000000}"/>
              </a:ext>
            </a:extLst>
          </xdr:cNvPr>
          <xdr:cNvSpPr/>
        </xdr:nvSpPr>
        <xdr:spPr>
          <a:xfrm>
            <a:off x="-1" y="0"/>
            <a:ext cx="12159616" cy="4305300"/>
          </a:xfrm>
          <a:prstGeom prst="rect">
            <a:avLst/>
          </a:prstGeom>
          <a:solidFill>
            <a:srgbClr val="FFFFFF"/>
          </a:solidFill>
          <a:ln w="38100" cap="flat">
            <a:solidFill>
              <a:srgbClr val="002060"/>
            </a:solidFill>
            <a:prstDash val="solid"/>
            <a:miter lim="800000"/>
          </a:ln>
          <a:effectLst>
            <a:outerShdw blurRad="50800" dist="27940" dir="5400000" rotWithShape="0">
              <a:srgbClr val="000000">
                <a:alpha val="32000"/>
              </a:srgbClr>
            </a:outerShdw>
          </a:effectLst>
        </xdr:spPr>
        <xdr:txBody>
          <a:bodyPr/>
          <a:lstStyle/>
          <a:p>
            <a:endParaRPr/>
          </a:p>
        </xdr:txBody>
      </xdr:sp>
      <xdr:sp macro="" textlink="">
        <xdr:nvSpPr>
          <xdr:cNvPr id="20" name="Este plan contempla los programas, politicas,indicadores de Gestion, proyectos y actividades a desarrollar por EMELCE SA. ESP, para cumplir con la misión, visión y objetivos estratégicos, durante  el periodo 2025 – 2028.">
            <a:extLst>
              <a:ext uri="{FF2B5EF4-FFF2-40B4-BE49-F238E27FC236}">
                <a16:creationId xmlns:a16="http://schemas.microsoft.com/office/drawing/2014/main" id="{00000000-0008-0000-0400-000014000000}"/>
              </a:ext>
            </a:extLst>
          </xdr:cNvPr>
          <xdr:cNvSpPr txBox="1"/>
        </xdr:nvSpPr>
        <xdr:spPr>
          <a:xfrm>
            <a:off x="45719" y="1708364"/>
            <a:ext cx="12068176" cy="888572"/>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Este plan contempla los programas, politicas,indicadores de Gestion, proyectos y actividades a desarrollar por EMELCE SA. ESP, para cumplir con la misión, visión y objetivos estratégicos, durante  el periodo 2025 – 2028. </a:t>
            </a:r>
          </a:p>
          <a:p>
            <a:pPr marL="0" marR="0" indent="0" algn="ctr" defTabSz="914400" latinLnBrk="0">
              <a:lnSpc>
                <a:spcPct val="100000"/>
              </a:lnSpc>
              <a:spcBef>
                <a:spcPts val="0"/>
              </a:spcBef>
              <a:spcAft>
                <a:spcPts val="0"/>
              </a:spcAft>
              <a:buClrTx/>
              <a:buSzTx/>
              <a:buFontTx/>
              <a:buNone/>
              <a:defRPr sz="1100" b="0" i="0" u="none" strike="noStrike" cap="none" spc="0" baseline="0">
                <a:solidFill>
                  <a:srgbClr val="153553"/>
                </a:solidFill>
                <a:uFillTx/>
                <a:latin typeface="Arial"/>
                <a:ea typeface="Arial"/>
                <a:cs typeface="Arial"/>
                <a:sym typeface="Arial"/>
              </a:defRPr>
            </a:pPr>
            <a:endParaRPr sz="1100" b="0" i="0" u="none" strike="noStrike" cap="none" spc="0" baseline="0">
              <a:solidFill>
                <a:srgbClr val="153553"/>
              </a:solidFill>
              <a:uFillTx/>
              <a:latin typeface="Arial"/>
              <a:ea typeface="Arial"/>
              <a:cs typeface="Arial"/>
              <a:sym typeface="Arial"/>
            </a:endParaRPr>
          </a:p>
        </xdr:txBody>
      </xdr:sp>
    </xdr:grpSp>
    <xdr:clientData/>
  </xdr:twoCellAnchor>
  <xdr:twoCellAnchor>
    <xdr:from>
      <xdr:col>0</xdr:col>
      <xdr:colOff>309880</xdr:colOff>
      <xdr:row>0</xdr:row>
      <xdr:rowOff>25400</xdr:rowOff>
    </xdr:from>
    <xdr:to>
      <xdr:col>2</xdr:col>
      <xdr:colOff>433723</xdr:colOff>
      <xdr:row>2</xdr:row>
      <xdr:rowOff>530225</xdr:rowOff>
    </xdr:to>
    <xdr:pic>
      <xdr:nvPicPr>
        <xdr:cNvPr id="22" name="Logo Emelce.png" descr="Logo Emelce.png">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1"/>
        <a:srcRect/>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750570</xdr:colOff>
      <xdr:row>4</xdr:row>
      <xdr:rowOff>20050</xdr:rowOff>
    </xdr:from>
    <xdr:to>
      <xdr:col>14</xdr:col>
      <xdr:colOff>788670</xdr:colOff>
      <xdr:row>7</xdr:row>
      <xdr:rowOff>21066</xdr:rowOff>
    </xdr:to>
    <xdr:sp macro="" textlink="">
      <xdr:nvSpPr>
        <xdr:cNvPr id="24" name="11 Rectángulo">
          <a:extLst>
            <a:ext uri="{FF2B5EF4-FFF2-40B4-BE49-F238E27FC236}">
              <a16:creationId xmlns:a16="http://schemas.microsoft.com/office/drawing/2014/main" id="{00000000-0008-0000-0500-000018000000}"/>
            </a:ext>
          </a:extLst>
        </xdr:cNvPr>
        <xdr:cNvSpPr/>
      </xdr:nvSpPr>
      <xdr:spPr>
        <a:xfrm>
          <a:off x="750569" y="1472930"/>
          <a:ext cx="12306301"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3. Contexto de la empresa.</a:t>
          </a:r>
        </a:p>
      </xdr:txBody>
    </xdr:sp>
    <xdr:clientData/>
  </xdr:twoCellAnchor>
  <xdr:twoCellAnchor>
    <xdr:from>
      <xdr:col>1</xdr:col>
      <xdr:colOff>9524</xdr:colOff>
      <xdr:row>7</xdr:row>
      <xdr:rowOff>57388</xdr:rowOff>
    </xdr:from>
    <xdr:to>
      <xdr:col>14</xdr:col>
      <xdr:colOff>777239</xdr:colOff>
      <xdr:row>29</xdr:row>
      <xdr:rowOff>171688</xdr:rowOff>
    </xdr:to>
    <xdr:grpSp>
      <xdr:nvGrpSpPr>
        <xdr:cNvPr id="27" name="CuadroTexto 5">
          <a:extLst>
            <a:ext uri="{FF2B5EF4-FFF2-40B4-BE49-F238E27FC236}">
              <a16:creationId xmlns:a16="http://schemas.microsoft.com/office/drawing/2014/main" id="{00000000-0008-0000-0500-00001B000000}"/>
            </a:ext>
          </a:extLst>
        </xdr:cNvPr>
        <xdr:cNvGrpSpPr/>
      </xdr:nvGrpSpPr>
      <xdr:grpSpPr>
        <a:xfrm>
          <a:off x="809624" y="2076688"/>
          <a:ext cx="11169015" cy="4305300"/>
          <a:chOff x="0" y="0"/>
          <a:chExt cx="12159614" cy="4305300"/>
        </a:xfrm>
      </xdr:grpSpPr>
      <xdr:sp macro="" textlink="">
        <xdr:nvSpPr>
          <xdr:cNvPr id="25" name="Rectángulo">
            <a:extLst>
              <a:ext uri="{FF2B5EF4-FFF2-40B4-BE49-F238E27FC236}">
                <a16:creationId xmlns:a16="http://schemas.microsoft.com/office/drawing/2014/main" id="{00000000-0008-0000-0500-000019000000}"/>
              </a:ext>
            </a:extLst>
          </xdr:cNvPr>
          <xdr:cNvSpPr/>
        </xdr:nvSpPr>
        <xdr:spPr>
          <a:xfrm>
            <a:off x="-1" y="0"/>
            <a:ext cx="12159616" cy="4305300"/>
          </a:xfrm>
          <a:prstGeom prst="rect">
            <a:avLst/>
          </a:prstGeom>
          <a:solidFill>
            <a:srgbClr val="FFFFFF"/>
          </a:solidFill>
          <a:ln w="38100" cap="flat">
            <a:solidFill>
              <a:srgbClr val="002060"/>
            </a:solidFill>
            <a:prstDash val="solid"/>
            <a:miter lim="800000"/>
          </a:ln>
          <a:effectLst>
            <a:outerShdw blurRad="50800" dist="27940" dir="5400000" rotWithShape="0">
              <a:srgbClr val="000000">
                <a:alpha val="32000"/>
              </a:srgbClr>
            </a:outerShdw>
          </a:effectLst>
        </xdr:spPr>
        <xdr:txBody>
          <a:bodyPr/>
          <a:lstStyle/>
          <a:p>
            <a:endParaRPr/>
          </a:p>
        </xdr:txBody>
      </xdr:sp>
      <xdr:sp macro="" textlink="">
        <xdr:nvSpPr>
          <xdr:cNvPr id="26" name="La EMPRESA DE ENERGÍA DEL GUAINÍA LA CEIBA S.A. E.S.P. (EMELCE S.A. E.S.P.) fue constituida mediante la escritura pública N° 267 del 16 de octubre de 1998, como una sociedad anónima de economía mixta, de nacionalidad colombiana. Se encuentra regulada baj">
            <a:extLst>
              <a:ext uri="{FF2B5EF4-FFF2-40B4-BE49-F238E27FC236}">
                <a16:creationId xmlns:a16="http://schemas.microsoft.com/office/drawing/2014/main" id="{00000000-0008-0000-0500-00001A000000}"/>
              </a:ext>
            </a:extLst>
          </xdr:cNvPr>
          <xdr:cNvSpPr txBox="1"/>
        </xdr:nvSpPr>
        <xdr:spPr>
          <a:xfrm>
            <a:off x="45719" y="284377"/>
            <a:ext cx="12068176" cy="3736546"/>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La EMPRESA DE ENERGÍA DEL GUAINÍA LA CEIBA S.A. E.S.P. (EMELCE S.A. E.S.P.) fue constituida mediante la escritura pública N° 267 del 16 de octubre de 1998, como una sociedad anónima de economía mixta, de nacionalidad colombiana. Se encuentra regulada bajo el régimen de empresas de servicios públicos domiciliarios, conforme a lo establecido en las Leyes 142 y 143 de 1994, la Ley 286 de 1996, la Ley 689 de 2001, y las disposiciones de la Comisión de Regulación de Energía y Gas (CREG), la Unidad de Planeación Minero-Energética (UPME) y el Instituto de Planificación y Promoción de Soluciones Energéticas para Zonas No Interconectadas (IPSE), así como el Código de Comercio y demás normativas aplicables.</a:t>
            </a: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endParaRPr sz="1200" b="0" i="0" u="none" strike="noStrike" cap="none" spc="0" baseline="0">
              <a:solidFill>
                <a:srgbClr val="000000"/>
              </a:solidFill>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La empresa está sujeta a la inspección, control y vigilancia de la Superintendencia de Servicios Públicos Domiciliarios y tiene su domicilio principal en la ciudad de Inírida, Guainía.</a:t>
            </a: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endParaRPr sz="1200" b="0" i="0" u="none" strike="noStrike" cap="none" spc="0" baseline="0">
              <a:solidFill>
                <a:srgbClr val="000000"/>
              </a:solidFill>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Su objeto social es la distribución y comercialización de energía eléctrica en el Departamento del Guainía. En sus inicios, también administró y distribuyó los subsidios asignados por el IPSE para comunidades indígenas y corregimientos del departamento. En la actualidad, su labor se centra en la comercialización y distribución de energía en la región.</a:t>
            </a: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endParaRPr sz="1200" b="0" i="0" u="none" strike="noStrike" cap="none" spc="0" baseline="0">
              <a:solidFill>
                <a:srgbClr val="000000"/>
              </a:solidFill>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EMELCE S.A. E.S.P. está registrada ante la Cámara de Comercio de Villavicencio bajo el número 15999, con NIT 843.000.057-8 otorgado por la DIAN y el código 130194000 ante la Contaduría General de la Nación.</a:t>
            </a:r>
          </a:p>
          <a:p>
            <a:pPr marL="0" marR="0" indent="0" algn="ctr" defTabSz="914400" latinLnBrk="0">
              <a:lnSpc>
                <a:spcPct val="100000"/>
              </a:lnSpc>
              <a:spcBef>
                <a:spcPts val="0"/>
              </a:spcBef>
              <a:spcAft>
                <a:spcPts val="0"/>
              </a:spcAft>
              <a:buClrTx/>
              <a:buSzTx/>
              <a:buFontTx/>
              <a:buNone/>
              <a:defRPr sz="1100" b="0" i="0" u="none" strike="noStrike" cap="none" spc="0" baseline="0">
                <a:solidFill>
                  <a:srgbClr val="153553"/>
                </a:solidFill>
                <a:uFillTx/>
                <a:latin typeface="Arial"/>
                <a:ea typeface="Arial"/>
                <a:cs typeface="Arial"/>
                <a:sym typeface="Arial"/>
              </a:defRPr>
            </a:pPr>
            <a:endParaRPr sz="1100" b="0" i="0" u="none" strike="noStrike" cap="none" spc="0" baseline="0">
              <a:solidFill>
                <a:srgbClr val="153553"/>
              </a:solidFill>
              <a:uFillTx/>
              <a:latin typeface="Arial"/>
              <a:ea typeface="Arial"/>
              <a:cs typeface="Arial"/>
              <a:sym typeface="Arial"/>
            </a:endParaRPr>
          </a:p>
        </xdr:txBody>
      </xdr:sp>
    </xdr:grpSp>
    <xdr:clientData/>
  </xdr:twoCellAnchor>
  <xdr:twoCellAnchor>
    <xdr:from>
      <xdr:col>0</xdr:col>
      <xdr:colOff>309880</xdr:colOff>
      <xdr:row>0</xdr:row>
      <xdr:rowOff>25400</xdr:rowOff>
    </xdr:from>
    <xdr:to>
      <xdr:col>2</xdr:col>
      <xdr:colOff>433723</xdr:colOff>
      <xdr:row>2</xdr:row>
      <xdr:rowOff>530225</xdr:rowOff>
    </xdr:to>
    <xdr:pic>
      <xdr:nvPicPr>
        <xdr:cNvPr id="28" name="Logo Emelce.png" descr="Logo Emelce.png">
          <a:extLst>
            <a:ext uri="{FF2B5EF4-FFF2-40B4-BE49-F238E27FC236}">
              <a16:creationId xmlns:a16="http://schemas.microsoft.com/office/drawing/2014/main" id="{00000000-0008-0000-0500-00001C000000}"/>
            </a:ext>
          </a:extLst>
        </xdr:cNvPr>
        <xdr:cNvPicPr>
          <a:picLocks noChangeAspect="1"/>
        </xdr:cNvPicPr>
      </xdr:nvPicPr>
      <xdr:blipFill>
        <a:blip xmlns:r="http://schemas.openxmlformats.org/officeDocument/2006/relationships" r:embed="rId1"/>
        <a:srcRect/>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872490</xdr:colOff>
      <xdr:row>5</xdr:row>
      <xdr:rowOff>124587</xdr:rowOff>
    </xdr:from>
    <xdr:to>
      <xdr:col>14</xdr:col>
      <xdr:colOff>788669</xdr:colOff>
      <xdr:row>8</xdr:row>
      <xdr:rowOff>125603</xdr:rowOff>
    </xdr:to>
    <xdr:sp macro="" textlink="">
      <xdr:nvSpPr>
        <xdr:cNvPr id="30" name="11 Rectángulo">
          <a:extLst>
            <a:ext uri="{FF2B5EF4-FFF2-40B4-BE49-F238E27FC236}">
              <a16:creationId xmlns:a16="http://schemas.microsoft.com/office/drawing/2014/main" id="{00000000-0008-0000-0600-00001E000000}"/>
            </a:ext>
          </a:extLst>
        </xdr:cNvPr>
        <xdr:cNvSpPr/>
      </xdr:nvSpPr>
      <xdr:spPr>
        <a:xfrm>
          <a:off x="872490" y="1781937"/>
          <a:ext cx="12184380"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4. Plataforma estratégica.</a:t>
          </a:r>
        </a:p>
      </xdr:txBody>
    </xdr:sp>
    <xdr:clientData/>
  </xdr:twoCellAnchor>
  <xdr:twoCellAnchor>
    <xdr:from>
      <xdr:col>1</xdr:col>
      <xdr:colOff>100963</xdr:colOff>
      <xdr:row>9</xdr:row>
      <xdr:rowOff>2161</xdr:rowOff>
    </xdr:from>
    <xdr:to>
      <xdr:col>13</xdr:col>
      <xdr:colOff>15238</xdr:colOff>
      <xdr:row>28</xdr:row>
      <xdr:rowOff>166151</xdr:rowOff>
    </xdr:to>
    <xdr:grpSp>
      <xdr:nvGrpSpPr>
        <xdr:cNvPr id="39" name="Diagrama 2">
          <a:extLst>
            <a:ext uri="{FF2B5EF4-FFF2-40B4-BE49-F238E27FC236}">
              <a16:creationId xmlns:a16="http://schemas.microsoft.com/office/drawing/2014/main" id="{00000000-0008-0000-0600-000027000000}"/>
            </a:ext>
          </a:extLst>
        </xdr:cNvPr>
        <xdr:cNvGrpSpPr/>
      </xdr:nvGrpSpPr>
      <xdr:grpSpPr>
        <a:xfrm>
          <a:off x="901063" y="2415161"/>
          <a:ext cx="9515475" cy="3783490"/>
          <a:chOff x="0" y="0"/>
          <a:chExt cx="10429875" cy="3783490"/>
        </a:xfrm>
      </xdr:grpSpPr>
      <xdr:grpSp>
        <xdr:nvGrpSpPr>
          <xdr:cNvPr id="33" name="Agrupar">
            <a:extLst>
              <a:ext uri="{FF2B5EF4-FFF2-40B4-BE49-F238E27FC236}">
                <a16:creationId xmlns:a16="http://schemas.microsoft.com/office/drawing/2014/main" id="{00000000-0008-0000-0600-000021000000}"/>
              </a:ext>
            </a:extLst>
          </xdr:cNvPr>
          <xdr:cNvGrpSpPr/>
        </xdr:nvGrpSpPr>
        <xdr:grpSpPr>
          <a:xfrm>
            <a:off x="0" y="706998"/>
            <a:ext cx="5430149" cy="2369844"/>
            <a:chOff x="0" y="0"/>
            <a:chExt cx="5430148" cy="2369842"/>
          </a:xfrm>
        </xdr:grpSpPr>
        <xdr:sp macro="" textlink="">
          <xdr:nvSpPr>
            <xdr:cNvPr id="31" name="Figura">
              <a:extLst>
                <a:ext uri="{FF2B5EF4-FFF2-40B4-BE49-F238E27FC236}">
                  <a16:creationId xmlns:a16="http://schemas.microsoft.com/office/drawing/2014/main" id="{00000000-0008-0000-0600-00001F000000}"/>
                </a:ext>
              </a:extLst>
            </xdr:cNvPr>
            <xdr:cNvSpPr/>
          </xdr:nvSpPr>
          <xdr:spPr>
            <a:xfrm rot="16200000">
              <a:off x="1530153" y="-1530154"/>
              <a:ext cx="2369843" cy="5430150"/>
            </a:xfrm>
            <a:custGeom>
              <a:avLst/>
              <a:gdLst/>
              <a:ahLst/>
              <a:cxnLst>
                <a:cxn ang="0">
                  <a:pos x="wd2" y="hd2"/>
                </a:cxn>
                <a:cxn ang="5400000">
                  <a:pos x="wd2" y="hd2"/>
                </a:cxn>
                <a:cxn ang="10800000">
                  <a:pos x="wd2" y="hd2"/>
                </a:cxn>
                <a:cxn ang="16200000">
                  <a:pos x="wd2" y="hd2"/>
                </a:cxn>
              </a:cxnLst>
              <a:rect l="0" t="0" r="r" b="b"/>
              <a:pathLst>
                <a:path w="21600" h="21600" extrusionOk="0">
                  <a:moveTo>
                    <a:pt x="3601" y="0"/>
                  </a:moveTo>
                  <a:lnTo>
                    <a:pt x="17999" y="0"/>
                  </a:lnTo>
                  <a:cubicBezTo>
                    <a:pt x="19988" y="0"/>
                    <a:pt x="21600" y="704"/>
                    <a:pt x="21600" y="1571"/>
                  </a:cubicBezTo>
                  <a:lnTo>
                    <a:pt x="21600" y="21600"/>
                  </a:lnTo>
                  <a:lnTo>
                    <a:pt x="0" y="21600"/>
                  </a:lnTo>
                  <a:lnTo>
                    <a:pt x="0" y="1571"/>
                  </a:lnTo>
                  <a:cubicBezTo>
                    <a:pt x="0" y="704"/>
                    <a:pt x="1612" y="0"/>
                    <a:pt x="3601" y="0"/>
                  </a:cubicBezTo>
                  <a:close/>
                </a:path>
              </a:pathLst>
            </a:custGeom>
            <a:solidFill>
              <a:srgbClr val="9DC3E6"/>
            </a:solidFill>
            <a:ln w="6350" cap="flat">
              <a:solidFill>
                <a:schemeClr val="accent2"/>
              </a:solidFill>
              <a:prstDash val="solid"/>
              <a:miter lim="800000"/>
            </a:ln>
            <a:effectLst/>
          </xdr:spPr>
          <xdr:txBody>
            <a:bodyPr/>
            <a:lstStyle/>
            <a:p>
              <a:endParaRPr/>
            </a:p>
          </xdr:txBody>
        </xdr:sp>
        <xdr:sp macro="" textlink="">
          <xdr:nvSpPr>
            <xdr:cNvPr id="32" name="NUESTRA MISIÓN…">
              <a:extLst>
                <a:ext uri="{FF2B5EF4-FFF2-40B4-BE49-F238E27FC236}">
                  <a16:creationId xmlns:a16="http://schemas.microsoft.com/office/drawing/2014/main" id="{00000000-0008-0000-0600-000020000000}"/>
                </a:ext>
              </a:extLst>
            </xdr:cNvPr>
            <xdr:cNvSpPr txBox="1"/>
          </xdr:nvSpPr>
          <xdr:spPr>
            <a:xfrm>
              <a:off x="96657" y="291442"/>
              <a:ext cx="5329683" cy="1786956"/>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533400" latinLnBrk="0">
                <a:lnSpc>
                  <a:spcPct val="90000"/>
                </a:lnSpc>
                <a:spcBef>
                  <a:spcPts val="500"/>
                </a:spcBef>
                <a:spcAft>
                  <a:spcPts val="0"/>
                </a:spcAft>
                <a:buClrTx/>
                <a:buSzTx/>
                <a:buFontTx/>
                <a:buNone/>
                <a:defRPr sz="1200" b="1" i="0" u="none" strike="noStrike" cap="none" spc="0" baseline="0">
                  <a:solidFill>
                    <a:srgbClr val="222A35"/>
                  </a:solidFill>
                  <a:uFillTx/>
                  <a:latin typeface="Century Gothic"/>
                  <a:ea typeface="Century Gothic"/>
                  <a:cs typeface="Century Gothic"/>
                  <a:sym typeface="Century Gothic"/>
                </a:defRPr>
              </a:pPr>
              <a:r>
                <a:rPr sz="1200" b="1" i="0" u="none" strike="noStrike" cap="none" spc="0" baseline="0">
                  <a:solidFill>
                    <a:srgbClr val="222A35"/>
                  </a:solidFill>
                  <a:uFillTx/>
                  <a:latin typeface="Century Gothic"/>
                  <a:ea typeface="Century Gothic"/>
                  <a:cs typeface="Century Gothic"/>
                  <a:sym typeface="Century Gothic"/>
                </a:rPr>
                <a:t>NUESTRA MISIÓN </a:t>
              </a:r>
              <a:endParaRPr sz="1200" b="1" i="0" u="none" strike="noStrike" cap="none" spc="0" baseline="0">
                <a:solidFill>
                  <a:srgbClr val="FFFFFF"/>
                </a:solidFill>
                <a:uFillTx/>
                <a:latin typeface="Century Gothic"/>
                <a:ea typeface="Century Gothic"/>
                <a:cs typeface="Century Gothic"/>
                <a:sym typeface="Century Gothic"/>
              </a:endParaRPr>
            </a:p>
            <a:p>
              <a:pPr marL="0" marR="0" indent="0" algn="ctr" defTabSz="533400" latinLnBrk="0">
                <a:lnSpc>
                  <a:spcPct val="90000"/>
                </a:lnSpc>
                <a:spcBef>
                  <a:spcPts val="50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Satisfacer las nececesidades y expectativas de nuestros usuarios y partes interesadas, a traves de la continuidad, confiabilidad, cobertura, seguridad y calidad en la generación, distribución y comercialización del servicio de energia electrica; asi mismo, actuamos con responsabilidad social como aporte al desarrollo sostenible en la región donde operamos.</a:t>
              </a:r>
              <a:endParaRPr sz="1200" b="0" i="0" u="none" strike="noStrike" cap="none" spc="0" baseline="0">
                <a:solidFill>
                  <a:srgbClr val="FFFFFF"/>
                </a:solidFill>
                <a:uFillTx/>
                <a:latin typeface="Century Gothic"/>
                <a:ea typeface="Century Gothic"/>
                <a:cs typeface="Century Gothic"/>
                <a:sym typeface="Century Gothic"/>
              </a:endParaRPr>
            </a:p>
          </xdr:txBody>
        </xdr:sp>
      </xdr:grpSp>
      <xdr:grpSp>
        <xdr:nvGrpSpPr>
          <xdr:cNvPr id="36" name="Agrupar">
            <a:extLst>
              <a:ext uri="{FF2B5EF4-FFF2-40B4-BE49-F238E27FC236}">
                <a16:creationId xmlns:a16="http://schemas.microsoft.com/office/drawing/2014/main" id="{00000000-0008-0000-0600-000024000000}"/>
              </a:ext>
            </a:extLst>
          </xdr:cNvPr>
          <xdr:cNvGrpSpPr/>
        </xdr:nvGrpSpPr>
        <xdr:grpSpPr>
          <a:xfrm>
            <a:off x="4890169" y="720032"/>
            <a:ext cx="5539707" cy="2369844"/>
            <a:chOff x="0" y="0"/>
            <a:chExt cx="5539706" cy="2369842"/>
          </a:xfrm>
        </xdr:grpSpPr>
        <xdr:sp macro="" textlink="">
          <xdr:nvSpPr>
            <xdr:cNvPr id="34" name="Figura">
              <a:extLst>
                <a:ext uri="{FF2B5EF4-FFF2-40B4-BE49-F238E27FC236}">
                  <a16:creationId xmlns:a16="http://schemas.microsoft.com/office/drawing/2014/main" id="{00000000-0008-0000-0600-000022000000}"/>
                </a:ext>
              </a:extLst>
            </xdr:cNvPr>
            <xdr:cNvSpPr/>
          </xdr:nvSpPr>
          <xdr:spPr>
            <a:xfrm rot="5400000">
              <a:off x="1584932" y="-1584933"/>
              <a:ext cx="2369843" cy="5539708"/>
            </a:xfrm>
            <a:custGeom>
              <a:avLst/>
              <a:gdLst/>
              <a:ahLst/>
              <a:cxnLst>
                <a:cxn ang="0">
                  <a:pos x="wd2" y="hd2"/>
                </a:cxn>
                <a:cxn ang="5400000">
                  <a:pos x="wd2" y="hd2"/>
                </a:cxn>
                <a:cxn ang="10800000">
                  <a:pos x="wd2" y="hd2"/>
                </a:cxn>
                <a:cxn ang="16200000">
                  <a:pos x="wd2" y="hd2"/>
                </a:cxn>
              </a:cxnLst>
              <a:rect l="0" t="0" r="r" b="b"/>
              <a:pathLst>
                <a:path w="21600" h="21600" extrusionOk="0">
                  <a:moveTo>
                    <a:pt x="3601" y="0"/>
                  </a:moveTo>
                  <a:lnTo>
                    <a:pt x="17999" y="0"/>
                  </a:lnTo>
                  <a:cubicBezTo>
                    <a:pt x="19988" y="0"/>
                    <a:pt x="21600" y="690"/>
                    <a:pt x="21600" y="1540"/>
                  </a:cubicBezTo>
                  <a:lnTo>
                    <a:pt x="21600" y="21600"/>
                  </a:lnTo>
                  <a:lnTo>
                    <a:pt x="0" y="21600"/>
                  </a:lnTo>
                  <a:lnTo>
                    <a:pt x="0" y="1540"/>
                  </a:lnTo>
                  <a:cubicBezTo>
                    <a:pt x="0" y="690"/>
                    <a:pt x="1612" y="0"/>
                    <a:pt x="3601" y="0"/>
                  </a:cubicBezTo>
                  <a:close/>
                </a:path>
              </a:pathLst>
            </a:custGeom>
            <a:solidFill>
              <a:srgbClr val="9DC3E6"/>
            </a:solidFill>
            <a:ln w="12700" cap="flat">
              <a:noFill/>
              <a:miter lim="400000"/>
            </a:ln>
            <a:effectLst>
              <a:outerShdw blurRad="63500" dist="19050" dir="5400000" rotWithShape="0">
                <a:srgbClr val="000000">
                  <a:alpha val="63000"/>
                </a:srgbClr>
              </a:outerShdw>
            </a:effectLst>
          </xdr:spPr>
          <xdr:txBody>
            <a:bodyPr/>
            <a:lstStyle/>
            <a:p>
              <a:endParaRPr/>
            </a:p>
          </xdr:txBody>
        </xdr:sp>
        <xdr:sp macro="" textlink="">
          <xdr:nvSpPr>
            <xdr:cNvPr id="35" name="NUESTRA VISIÓN…">
              <a:extLst>
                <a:ext uri="{FF2B5EF4-FFF2-40B4-BE49-F238E27FC236}">
                  <a16:creationId xmlns:a16="http://schemas.microsoft.com/office/drawing/2014/main" id="{00000000-0008-0000-0600-000023000000}"/>
                </a:ext>
              </a:extLst>
            </xdr:cNvPr>
            <xdr:cNvSpPr txBox="1"/>
          </xdr:nvSpPr>
          <xdr:spPr>
            <a:xfrm>
              <a:off x="3810" y="591664"/>
              <a:ext cx="5439241" cy="1186512"/>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533400" latinLnBrk="0">
                <a:lnSpc>
                  <a:spcPct val="90000"/>
                </a:lnSpc>
                <a:spcBef>
                  <a:spcPts val="500"/>
                </a:spcBef>
                <a:spcAft>
                  <a:spcPts val="0"/>
                </a:spcAft>
                <a:buClrTx/>
                <a:buSzTx/>
                <a:buFontTx/>
                <a:buNone/>
                <a:defRPr sz="1200" b="1" i="0" u="none" strike="noStrike" cap="none" spc="0" baseline="0">
                  <a:solidFill>
                    <a:srgbClr val="000000"/>
                  </a:solidFill>
                  <a:uFillTx/>
                  <a:latin typeface="Century Gothic"/>
                  <a:ea typeface="Century Gothic"/>
                  <a:cs typeface="Century Gothic"/>
                  <a:sym typeface="Century Gothic"/>
                </a:defRPr>
              </a:pPr>
              <a:r>
                <a:rPr sz="1200" b="1" i="0" u="none" strike="noStrike" cap="none" spc="0" baseline="0">
                  <a:solidFill>
                    <a:srgbClr val="000000"/>
                  </a:solidFill>
                  <a:uFillTx/>
                  <a:latin typeface="Century Gothic"/>
                  <a:ea typeface="Century Gothic"/>
                  <a:cs typeface="Century Gothic"/>
                  <a:sym typeface="Century Gothic"/>
                </a:rPr>
                <a:t>NUESTRA VISIÓN</a:t>
              </a:r>
              <a:endParaRPr sz="1200" b="1" i="0" u="none" strike="noStrike" cap="none" spc="0" baseline="0">
                <a:solidFill>
                  <a:srgbClr val="FFFFFF"/>
                </a:solidFill>
                <a:uFillTx/>
                <a:latin typeface="Century Gothic"/>
                <a:ea typeface="Century Gothic"/>
                <a:cs typeface="Century Gothic"/>
                <a:sym typeface="Century Gothic"/>
              </a:endParaRPr>
            </a:p>
            <a:p>
              <a:pPr marL="0" marR="0" indent="0" algn="ctr" defTabSz="533400" latinLnBrk="0">
                <a:lnSpc>
                  <a:spcPct val="90000"/>
                </a:lnSpc>
                <a:spcBef>
                  <a:spcPts val="500"/>
                </a:spcBef>
                <a:spcAft>
                  <a:spcPts val="0"/>
                </a:spcAft>
                <a:buClrTx/>
                <a:buSzTx/>
                <a:buFontTx/>
                <a:buNone/>
                <a:defRPr sz="1200" b="0" i="0" u="none" strike="noStrike" cap="none" spc="0" baseline="0">
                  <a:solidFill>
                    <a:srgbClr val="000000"/>
                  </a:solidFill>
                  <a:uFillTx/>
                  <a:latin typeface="Century Gothic"/>
                  <a:ea typeface="Century Gothic"/>
                  <a:cs typeface="Century Gothic"/>
                  <a:sym typeface="Century Gothic"/>
                </a:defRPr>
              </a:pPr>
              <a:r>
                <a:rPr sz="1200" b="0" i="0" u="none" strike="noStrike" cap="none" spc="0" baseline="0">
                  <a:solidFill>
                    <a:srgbClr val="000000"/>
                  </a:solidFill>
                  <a:uFillTx/>
                  <a:latin typeface="Century Gothic"/>
                  <a:ea typeface="Century Gothic"/>
                  <a:cs typeface="Century Gothic"/>
                  <a:sym typeface="Century Gothic"/>
                </a:rPr>
                <a:t>Liderar el mercado enerrgetico en las zonas no interconectadas del pais, destacada por brindar servicios de alta calidad, eficacia, cobertura, oportunidad, protección y seguridadd en la ejecución de actividades</a:t>
              </a:r>
            </a:p>
          </xdr:txBody>
        </xdr:sp>
      </xdr:grpSp>
      <xdr:sp macro="" textlink="">
        <xdr:nvSpPr>
          <xdr:cNvPr id="37" name="Figura">
            <a:extLst>
              <a:ext uri="{FF2B5EF4-FFF2-40B4-BE49-F238E27FC236}">
                <a16:creationId xmlns:a16="http://schemas.microsoft.com/office/drawing/2014/main" id="{00000000-0008-0000-0600-000025000000}"/>
              </a:ext>
            </a:extLst>
          </xdr:cNvPr>
          <xdr:cNvSpPr/>
        </xdr:nvSpPr>
        <xdr:spPr>
          <a:xfrm>
            <a:off x="4551083" y="0"/>
            <a:ext cx="1388306" cy="662338"/>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cubicBezTo>
                  <a:pt x="0" y="9671"/>
                  <a:pt x="4614" y="0"/>
                  <a:pt x="10306" y="0"/>
                </a:cubicBezTo>
                <a:cubicBezTo>
                  <a:pt x="14887" y="0"/>
                  <a:pt x="18919" y="6340"/>
                  <a:pt x="20200" y="15560"/>
                </a:cubicBezTo>
                <a:lnTo>
                  <a:pt x="21600" y="15560"/>
                </a:lnTo>
                <a:lnTo>
                  <a:pt x="19139" y="21600"/>
                </a:lnTo>
                <a:lnTo>
                  <a:pt x="15711" y="15560"/>
                </a:lnTo>
                <a:lnTo>
                  <a:pt x="17079" y="15560"/>
                </a:lnTo>
                <a:lnTo>
                  <a:pt x="17079" y="15560"/>
                </a:lnTo>
                <a:cubicBezTo>
                  <a:pt x="15488" y="7719"/>
                  <a:pt x="11165" y="4067"/>
                  <a:pt x="7424" y="7403"/>
                </a:cubicBezTo>
                <a:cubicBezTo>
                  <a:pt x="4708" y="9825"/>
                  <a:pt x="2944" y="15413"/>
                  <a:pt x="2944" y="21600"/>
                </a:cubicBezTo>
                <a:close/>
              </a:path>
            </a:pathLst>
          </a:custGeom>
          <a:solidFill>
            <a:srgbClr val="153553"/>
          </a:solidFill>
          <a:ln w="12700" cap="flat">
            <a:solidFill>
              <a:srgbClr val="FFFFFF"/>
            </a:solidFill>
            <a:prstDash val="solid"/>
            <a:miter lim="800000"/>
          </a:ln>
          <a:effectLst/>
        </xdr:spPr>
        <xdr:txBody>
          <a:bodyPr/>
          <a:lstStyle/>
          <a:p>
            <a:endParaRPr/>
          </a:p>
        </xdr:txBody>
      </xdr:sp>
      <xdr:sp macro="" textlink="">
        <xdr:nvSpPr>
          <xdr:cNvPr id="38" name="Figura">
            <a:extLst>
              <a:ext uri="{FF2B5EF4-FFF2-40B4-BE49-F238E27FC236}">
                <a16:creationId xmlns:a16="http://schemas.microsoft.com/office/drawing/2014/main" id="{00000000-0008-0000-0600-000026000000}"/>
              </a:ext>
            </a:extLst>
          </xdr:cNvPr>
          <xdr:cNvSpPr/>
        </xdr:nvSpPr>
        <xdr:spPr>
          <a:xfrm rot="10800000">
            <a:off x="4435412" y="3121152"/>
            <a:ext cx="1388306" cy="662339"/>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cubicBezTo>
                  <a:pt x="0" y="9671"/>
                  <a:pt x="4614" y="0"/>
                  <a:pt x="10306" y="0"/>
                </a:cubicBezTo>
                <a:cubicBezTo>
                  <a:pt x="14887" y="0"/>
                  <a:pt x="18919" y="6340"/>
                  <a:pt x="20200" y="15560"/>
                </a:cubicBezTo>
                <a:lnTo>
                  <a:pt x="21600" y="15560"/>
                </a:lnTo>
                <a:lnTo>
                  <a:pt x="19139" y="21600"/>
                </a:lnTo>
                <a:lnTo>
                  <a:pt x="15711" y="15560"/>
                </a:lnTo>
                <a:lnTo>
                  <a:pt x="17079" y="15560"/>
                </a:lnTo>
                <a:lnTo>
                  <a:pt x="17079" y="15560"/>
                </a:lnTo>
                <a:cubicBezTo>
                  <a:pt x="15488" y="7719"/>
                  <a:pt x="11165" y="4067"/>
                  <a:pt x="7424" y="7403"/>
                </a:cubicBezTo>
                <a:cubicBezTo>
                  <a:pt x="4708" y="9825"/>
                  <a:pt x="2944" y="15413"/>
                  <a:pt x="2944" y="21600"/>
                </a:cubicBezTo>
                <a:close/>
              </a:path>
            </a:pathLst>
          </a:custGeom>
          <a:solidFill>
            <a:srgbClr val="153553"/>
          </a:solidFill>
          <a:ln w="12700" cap="flat">
            <a:solidFill>
              <a:srgbClr val="FFFFFF"/>
            </a:solidFill>
            <a:prstDash val="solid"/>
            <a:miter lim="800000"/>
          </a:ln>
          <a:effectLst/>
        </xdr:spPr>
        <xdr:txBody>
          <a:bodyPr/>
          <a:lstStyle/>
          <a:p>
            <a:endParaRPr/>
          </a:p>
        </xdr:txBody>
      </xdr:sp>
    </xdr:grpSp>
    <xdr:clientData/>
  </xdr:twoCellAnchor>
  <xdr:twoCellAnchor>
    <xdr:from>
      <xdr:col>0</xdr:col>
      <xdr:colOff>309880</xdr:colOff>
      <xdr:row>0</xdr:row>
      <xdr:rowOff>25400</xdr:rowOff>
    </xdr:from>
    <xdr:to>
      <xdr:col>2</xdr:col>
      <xdr:colOff>433723</xdr:colOff>
      <xdr:row>2</xdr:row>
      <xdr:rowOff>530225</xdr:rowOff>
    </xdr:to>
    <xdr:pic>
      <xdr:nvPicPr>
        <xdr:cNvPr id="40" name="Logo Emelce.png" descr="Logo Emelce.png">
          <a:extLst>
            <a:ext uri="{FF2B5EF4-FFF2-40B4-BE49-F238E27FC236}">
              <a16:creationId xmlns:a16="http://schemas.microsoft.com/office/drawing/2014/main" id="{00000000-0008-0000-0600-000028000000}"/>
            </a:ext>
          </a:extLst>
        </xdr:cNvPr>
        <xdr:cNvPicPr>
          <a:picLocks noChangeAspect="1"/>
        </xdr:cNvPicPr>
      </xdr:nvPicPr>
      <xdr:blipFill>
        <a:blip xmlns:r="http://schemas.openxmlformats.org/officeDocument/2006/relationships" r:embed="rId1"/>
        <a:srcRect/>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55243</xdr:colOff>
      <xdr:row>3</xdr:row>
      <xdr:rowOff>184356</xdr:rowOff>
    </xdr:from>
    <xdr:to>
      <xdr:col>15</xdr:col>
      <xdr:colOff>34290</xdr:colOff>
      <xdr:row>6</xdr:row>
      <xdr:rowOff>194897</xdr:rowOff>
    </xdr:to>
    <xdr:sp macro="" textlink="">
      <xdr:nvSpPr>
        <xdr:cNvPr id="43" name="11 Rectángulo">
          <a:extLst>
            <a:ext uri="{FF2B5EF4-FFF2-40B4-BE49-F238E27FC236}">
              <a16:creationId xmlns:a16="http://schemas.microsoft.com/office/drawing/2014/main" id="{00000000-0008-0000-0700-00002B000000}"/>
            </a:ext>
          </a:extLst>
        </xdr:cNvPr>
        <xdr:cNvSpPr/>
      </xdr:nvSpPr>
      <xdr:spPr>
        <a:xfrm>
          <a:off x="931543" y="1481661"/>
          <a:ext cx="11866248"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5. Objetivos estratégicos</a:t>
          </a:r>
        </a:p>
      </xdr:txBody>
    </xdr:sp>
    <xdr:clientData/>
  </xdr:twoCellAnchor>
  <xdr:twoCellAnchor>
    <xdr:from>
      <xdr:col>5</xdr:col>
      <xdr:colOff>485775</xdr:colOff>
      <xdr:row>9</xdr:row>
      <xdr:rowOff>409654</xdr:rowOff>
    </xdr:from>
    <xdr:to>
      <xdr:col>6</xdr:col>
      <xdr:colOff>208407</xdr:colOff>
      <xdr:row>11</xdr:row>
      <xdr:rowOff>66754</xdr:rowOff>
    </xdr:to>
    <xdr:sp macro="" textlink="">
      <xdr:nvSpPr>
        <xdr:cNvPr id="44" name="Flecha abajo 11">
          <a:extLst>
            <a:ext uri="{FF2B5EF4-FFF2-40B4-BE49-F238E27FC236}">
              <a16:creationId xmlns:a16="http://schemas.microsoft.com/office/drawing/2014/main" id="{00000000-0008-0000-0700-00002C000000}"/>
            </a:ext>
          </a:extLst>
        </xdr:cNvPr>
        <xdr:cNvSpPr/>
      </xdr:nvSpPr>
      <xdr:spPr>
        <a:xfrm>
          <a:off x="4867275" y="3107134"/>
          <a:ext cx="598933" cy="504826"/>
        </a:xfrm>
        <a:custGeom>
          <a:avLst/>
          <a:gdLst/>
          <a:ahLst/>
          <a:cxnLst>
            <a:cxn ang="0">
              <a:pos x="wd2" y="hd2"/>
            </a:cxn>
            <a:cxn ang="5400000">
              <a:pos x="wd2" y="hd2"/>
            </a:cxn>
            <a:cxn ang="10800000">
              <a:pos x="wd2" y="hd2"/>
            </a:cxn>
            <a:cxn ang="16200000">
              <a:pos x="wd2" y="hd2"/>
            </a:cxn>
          </a:cxnLst>
          <a:rect l="0" t="0" r="r" b="b"/>
          <a:pathLst>
            <a:path w="21600" h="21600" extrusionOk="0">
              <a:moveTo>
                <a:pt x="0" y="10800"/>
              </a:moveTo>
              <a:lnTo>
                <a:pt x="5400" y="10800"/>
              </a:lnTo>
              <a:lnTo>
                <a:pt x="5400" y="0"/>
              </a:lnTo>
              <a:lnTo>
                <a:pt x="16200" y="0"/>
              </a:lnTo>
              <a:lnTo>
                <a:pt x="16200" y="10800"/>
              </a:lnTo>
              <a:lnTo>
                <a:pt x="21600" y="10800"/>
              </a:lnTo>
              <a:lnTo>
                <a:pt x="10800" y="21600"/>
              </a:lnTo>
              <a:close/>
            </a:path>
          </a:pathLst>
        </a:custGeom>
        <a:solidFill>
          <a:srgbClr val="FF6600"/>
        </a:solidFill>
        <a:ln w="12700" cap="flat">
          <a:solidFill>
            <a:srgbClr val="42719B"/>
          </a:solidFill>
          <a:prstDash val="solid"/>
          <a:miter lim="800000"/>
        </a:ln>
        <a:effectLst/>
      </xdr:spPr>
      <xdr:txBody>
        <a:bodyPr/>
        <a:lstStyle/>
        <a:p>
          <a:endParaRPr/>
        </a:p>
      </xdr:txBody>
    </xdr:sp>
    <xdr:clientData/>
  </xdr:twoCellAnchor>
  <xdr:twoCellAnchor>
    <xdr:from>
      <xdr:col>0</xdr:col>
      <xdr:colOff>209550</xdr:colOff>
      <xdr:row>9</xdr:row>
      <xdr:rowOff>571579</xdr:rowOff>
    </xdr:from>
    <xdr:to>
      <xdr:col>3</xdr:col>
      <xdr:colOff>428280</xdr:colOff>
      <xdr:row>15</xdr:row>
      <xdr:rowOff>466803</xdr:rowOff>
    </xdr:to>
    <xdr:grpSp>
      <xdr:nvGrpSpPr>
        <xdr:cNvPr id="47" name="Flecha derecha 12">
          <a:extLst>
            <a:ext uri="{FF2B5EF4-FFF2-40B4-BE49-F238E27FC236}">
              <a16:creationId xmlns:a16="http://schemas.microsoft.com/office/drawing/2014/main" id="{00000000-0008-0000-0700-00002F000000}"/>
            </a:ext>
          </a:extLst>
        </xdr:cNvPr>
        <xdr:cNvGrpSpPr/>
      </xdr:nvGrpSpPr>
      <xdr:grpSpPr>
        <a:xfrm>
          <a:off x="209550" y="3257629"/>
          <a:ext cx="2619030" cy="1768474"/>
          <a:chOff x="0" y="0"/>
          <a:chExt cx="2847630" cy="1771648"/>
        </a:xfrm>
      </xdr:grpSpPr>
      <xdr:sp macro="" textlink="">
        <xdr:nvSpPr>
          <xdr:cNvPr id="45" name="Flecha">
            <a:extLst>
              <a:ext uri="{FF2B5EF4-FFF2-40B4-BE49-F238E27FC236}">
                <a16:creationId xmlns:a16="http://schemas.microsoft.com/office/drawing/2014/main" id="{00000000-0008-0000-0700-00002D000000}"/>
              </a:ext>
            </a:extLst>
          </xdr:cNvPr>
          <xdr:cNvSpPr/>
        </xdr:nvSpPr>
        <xdr:spPr>
          <a:xfrm>
            <a:off x="0" y="0"/>
            <a:ext cx="2847631" cy="1771649"/>
          </a:xfrm>
          <a:prstGeom prst="rightArrow">
            <a:avLst>
              <a:gd name="adj1" fmla="val 75000"/>
              <a:gd name="adj2" fmla="val 50000"/>
            </a:avLst>
          </a:prstGeom>
          <a:solidFill>
            <a:srgbClr val="9DC3E6"/>
          </a:solidFill>
          <a:ln w="38100" cap="flat">
            <a:solidFill>
              <a:srgbClr val="00518E"/>
            </a:solidFill>
            <a:prstDash val="solid"/>
            <a:miter lim="800000"/>
          </a:ln>
          <a:effectLst/>
        </xdr:spPr>
        <xdr:txBody>
          <a:bodyPr/>
          <a:lstStyle/>
          <a:p>
            <a:endParaRPr/>
          </a:p>
        </xdr:txBody>
      </xdr:sp>
      <xdr:sp macro="" textlink="">
        <xdr:nvSpPr>
          <xdr:cNvPr id="46" name="REQUISITOS Y NECESIDAD DE LAS PARTES INTERESADAS">
            <a:extLst>
              <a:ext uri="{FF2B5EF4-FFF2-40B4-BE49-F238E27FC236}">
                <a16:creationId xmlns:a16="http://schemas.microsoft.com/office/drawing/2014/main" id="{00000000-0008-0000-0700-00002E000000}"/>
              </a:ext>
            </a:extLst>
          </xdr:cNvPr>
          <xdr:cNvSpPr txBox="1"/>
        </xdr:nvSpPr>
        <xdr:spPr>
          <a:xfrm>
            <a:off x="45719" y="529407"/>
            <a:ext cx="2091824" cy="712834"/>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914400" latinLnBrk="0">
              <a:lnSpc>
                <a:spcPct val="100000"/>
              </a:lnSpc>
              <a:spcBef>
                <a:spcPts val="0"/>
              </a:spcBef>
              <a:spcAft>
                <a:spcPts val="0"/>
              </a:spcAft>
              <a:buClrTx/>
              <a:buSzTx/>
              <a:buFontTx/>
              <a:buNone/>
              <a:defRPr sz="1200" b="1" i="0" u="none" strike="noStrike" cap="none" spc="0" baseline="0">
                <a:solidFill>
                  <a:srgbClr val="153553"/>
                </a:solidFill>
                <a:uFillTx/>
                <a:latin typeface="Arial"/>
                <a:ea typeface="Arial"/>
                <a:cs typeface="Arial"/>
                <a:sym typeface="Arial"/>
              </a:defRPr>
            </a:pPr>
            <a:r>
              <a:rPr sz="1200" b="1" i="0" u="none" strike="noStrike" cap="none" spc="0" baseline="0">
                <a:solidFill>
                  <a:srgbClr val="153553"/>
                </a:solidFill>
                <a:uFillTx/>
                <a:latin typeface="Arial"/>
                <a:ea typeface="Arial"/>
                <a:cs typeface="Arial"/>
                <a:sym typeface="Arial"/>
              </a:rPr>
              <a:t>REQUISITOS Y NECESIDAD DE LAS PARTES INTERESADAS</a:t>
            </a:r>
          </a:p>
        </xdr:txBody>
      </xdr:sp>
    </xdr:grpSp>
    <xdr:clientData/>
  </xdr:twoCellAnchor>
  <xdr:twoCellAnchor>
    <xdr:from>
      <xdr:col>3</xdr:col>
      <xdr:colOff>482363</xdr:colOff>
      <xdr:row>8</xdr:row>
      <xdr:rowOff>162004</xdr:rowOff>
    </xdr:from>
    <xdr:to>
      <xdr:col>11</xdr:col>
      <xdr:colOff>704848</xdr:colOff>
      <xdr:row>18</xdr:row>
      <xdr:rowOff>371554</xdr:rowOff>
    </xdr:to>
    <xdr:grpSp>
      <xdr:nvGrpSpPr>
        <xdr:cNvPr id="61" name="Diagrama 14">
          <a:extLst>
            <a:ext uri="{FF2B5EF4-FFF2-40B4-BE49-F238E27FC236}">
              <a16:creationId xmlns:a16="http://schemas.microsoft.com/office/drawing/2014/main" id="{00000000-0008-0000-0700-00003D000000}"/>
            </a:ext>
          </a:extLst>
        </xdr:cNvPr>
        <xdr:cNvGrpSpPr/>
      </xdr:nvGrpSpPr>
      <xdr:grpSpPr>
        <a:xfrm>
          <a:off x="2882663" y="2543254"/>
          <a:ext cx="6623285" cy="3403600"/>
          <a:chOff x="0" y="0"/>
          <a:chExt cx="7232886" cy="3409950"/>
        </a:xfrm>
      </xdr:grpSpPr>
      <xdr:sp macro="" textlink="">
        <xdr:nvSpPr>
          <xdr:cNvPr id="48" name="Polígono">
            <a:extLst>
              <a:ext uri="{FF2B5EF4-FFF2-40B4-BE49-F238E27FC236}">
                <a16:creationId xmlns:a16="http://schemas.microsoft.com/office/drawing/2014/main" id="{00000000-0008-0000-0700-000030000000}"/>
              </a:ext>
            </a:extLst>
          </xdr:cNvPr>
          <xdr:cNvSpPr/>
        </xdr:nvSpPr>
        <xdr:spPr>
          <a:xfrm>
            <a:off x="1214464" y="0"/>
            <a:ext cx="4693387" cy="3409950"/>
          </a:xfrm>
          <a:prstGeom prst="diamond">
            <a:avLst/>
          </a:prstGeom>
          <a:gradFill flip="none" rotWithShape="1">
            <a:gsLst>
              <a:gs pos="0">
                <a:srgbClr val="D9E4F3"/>
              </a:gs>
              <a:gs pos="50000">
                <a:srgbClr val="CFDDF1"/>
              </a:gs>
              <a:gs pos="100000">
                <a:srgbClr val="B4C3D8"/>
              </a:gs>
            </a:gsLst>
            <a:lin ang="5400000" scaled="0"/>
          </a:gradFill>
          <a:ln w="12700" cap="flat">
            <a:noFill/>
            <a:miter lim="400000"/>
          </a:ln>
          <a:effectLst/>
        </xdr:spPr>
        <xdr:txBody>
          <a:bodyPr/>
          <a:lstStyle/>
          <a:p>
            <a:endParaRPr/>
          </a:p>
        </xdr:txBody>
      </xdr:sp>
      <xdr:grpSp>
        <xdr:nvGrpSpPr>
          <xdr:cNvPr id="51" name="Agrupar">
            <a:extLst>
              <a:ext uri="{FF2B5EF4-FFF2-40B4-BE49-F238E27FC236}">
                <a16:creationId xmlns:a16="http://schemas.microsoft.com/office/drawing/2014/main" id="{00000000-0008-0000-0700-000033000000}"/>
              </a:ext>
            </a:extLst>
          </xdr:cNvPr>
          <xdr:cNvGrpSpPr/>
        </xdr:nvGrpSpPr>
        <xdr:grpSpPr>
          <a:xfrm>
            <a:off x="0" y="70442"/>
            <a:ext cx="1329880" cy="893068"/>
            <a:chOff x="0" y="0"/>
            <a:chExt cx="1329879" cy="893066"/>
          </a:xfrm>
        </xdr:grpSpPr>
        <xdr:sp macro="" textlink="">
          <xdr:nvSpPr>
            <xdr:cNvPr id="49" name="Rectángulo redondeado">
              <a:extLst>
                <a:ext uri="{FF2B5EF4-FFF2-40B4-BE49-F238E27FC236}">
                  <a16:creationId xmlns:a16="http://schemas.microsoft.com/office/drawing/2014/main" id="{00000000-0008-0000-0700-000031000000}"/>
                </a:ext>
              </a:extLst>
            </xdr:cNvPr>
            <xdr:cNvSpPr/>
          </xdr:nvSpPr>
          <xdr:spPr>
            <a:xfrm>
              <a:off x="0" y="0"/>
              <a:ext cx="1329880" cy="893067"/>
            </a:xfrm>
            <a:prstGeom prst="roundRect">
              <a:avLst>
                <a:gd name="adj" fmla="val 16667"/>
              </a:avLst>
            </a:prstGeom>
            <a:gradFill flip="none" rotWithShape="1">
              <a:gsLst>
                <a:gs pos="0">
                  <a:srgbClr val="70A6DB"/>
                </a:gs>
                <a:gs pos="50000">
                  <a:srgbClr val="559BDB"/>
                </a:gs>
                <a:gs pos="100000">
                  <a:srgbClr val="448AC9"/>
                </a:gs>
              </a:gsLst>
              <a:lin ang="5400000" scaled="0"/>
            </a:gradFill>
            <a:ln w="12700" cap="flat">
              <a:noFill/>
              <a:miter lim="400000"/>
            </a:ln>
            <a:effectLst/>
          </xdr:spPr>
          <xdr:txBody>
            <a:bodyPr/>
            <a:lstStyle/>
            <a:p>
              <a:endParaRPr/>
            </a:p>
          </xdr:txBody>
        </xdr:sp>
        <xdr:sp macro="" textlink="">
          <xdr:nvSpPr>
            <xdr:cNvPr id="50" name="Fortalecer la sostenbibilidad económica">
              <a:extLst>
                <a:ext uri="{FF2B5EF4-FFF2-40B4-BE49-F238E27FC236}">
                  <a16:creationId xmlns:a16="http://schemas.microsoft.com/office/drawing/2014/main" id="{00000000-0008-0000-0700-000032000000}"/>
                </a:ext>
              </a:extLst>
            </xdr:cNvPr>
            <xdr:cNvSpPr txBox="1"/>
          </xdr:nvSpPr>
          <xdr:spPr>
            <a:xfrm>
              <a:off x="24546" y="102722"/>
              <a:ext cx="1280789" cy="687623"/>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533400" latinLnBrk="0">
                <a:lnSpc>
                  <a:spcPct val="90000"/>
                </a:lnSpc>
                <a:spcBef>
                  <a:spcPts val="500"/>
                </a:spcBef>
                <a:spcAft>
                  <a:spcPts val="0"/>
                </a:spcAft>
                <a:buClrTx/>
                <a:buSzTx/>
                <a:buFontTx/>
                <a:buNone/>
                <a:defRPr sz="1200" b="0" i="0" u="none" strike="noStrike" cap="none" spc="0" baseline="0">
                  <a:solidFill>
                    <a:srgbClr val="FFFFFF"/>
                  </a:solidFill>
                  <a:uFillTx/>
                  <a:latin typeface="Calibri"/>
                  <a:ea typeface="Calibri"/>
                  <a:cs typeface="Calibri"/>
                  <a:sym typeface="Calibri"/>
                </a:defRPr>
              </a:pPr>
              <a:r>
                <a:rPr sz="1200" b="0" i="0" u="none" strike="noStrike" cap="none" spc="0" baseline="0">
                  <a:solidFill>
                    <a:srgbClr val="FFFFFF"/>
                  </a:solidFill>
                  <a:uFillTx/>
                  <a:latin typeface="Calibri"/>
                  <a:ea typeface="Calibri"/>
                  <a:cs typeface="Calibri"/>
                  <a:sym typeface="Calibri"/>
                </a:rPr>
                <a:t>Fortalecer la sostenbibilidad económica</a:t>
              </a:r>
            </a:p>
          </xdr:txBody>
        </xdr:sp>
      </xdr:grpSp>
      <xdr:grpSp>
        <xdr:nvGrpSpPr>
          <xdr:cNvPr id="54" name="Agrupar">
            <a:extLst>
              <a:ext uri="{FF2B5EF4-FFF2-40B4-BE49-F238E27FC236}">
                <a16:creationId xmlns:a16="http://schemas.microsoft.com/office/drawing/2014/main" id="{00000000-0008-0000-0700-000036000000}"/>
              </a:ext>
            </a:extLst>
          </xdr:cNvPr>
          <xdr:cNvGrpSpPr/>
        </xdr:nvGrpSpPr>
        <xdr:grpSpPr>
          <a:xfrm>
            <a:off x="5884272" y="115459"/>
            <a:ext cx="1329881" cy="755373"/>
            <a:chOff x="0" y="0"/>
            <a:chExt cx="1329879" cy="755372"/>
          </a:xfrm>
        </xdr:grpSpPr>
        <xdr:sp macro="" textlink="">
          <xdr:nvSpPr>
            <xdr:cNvPr id="52" name="Rectángulo redondeado">
              <a:extLst>
                <a:ext uri="{FF2B5EF4-FFF2-40B4-BE49-F238E27FC236}">
                  <a16:creationId xmlns:a16="http://schemas.microsoft.com/office/drawing/2014/main" id="{00000000-0008-0000-0700-000034000000}"/>
                </a:ext>
              </a:extLst>
            </xdr:cNvPr>
            <xdr:cNvSpPr/>
          </xdr:nvSpPr>
          <xdr:spPr>
            <a:xfrm>
              <a:off x="0" y="0"/>
              <a:ext cx="1329880" cy="755373"/>
            </a:xfrm>
            <a:prstGeom prst="roundRect">
              <a:avLst>
                <a:gd name="adj" fmla="val 16667"/>
              </a:avLst>
            </a:prstGeom>
            <a:gradFill flip="none" rotWithShape="1">
              <a:gsLst>
                <a:gs pos="0">
                  <a:srgbClr val="70A6DB"/>
                </a:gs>
                <a:gs pos="50000">
                  <a:srgbClr val="559BDB"/>
                </a:gs>
                <a:gs pos="100000">
                  <a:srgbClr val="448AC9"/>
                </a:gs>
              </a:gsLst>
              <a:lin ang="5400000" scaled="0"/>
            </a:gradFill>
            <a:ln w="12700" cap="flat">
              <a:noFill/>
              <a:miter lim="400000"/>
            </a:ln>
            <a:effectLst/>
          </xdr:spPr>
          <xdr:txBody>
            <a:bodyPr/>
            <a:lstStyle/>
            <a:p>
              <a:endParaRPr/>
            </a:p>
          </xdr:txBody>
        </xdr:sp>
        <xdr:sp macro="" textlink="">
          <xdr:nvSpPr>
            <xdr:cNvPr id="53" name="Fortalecer las competencias del capital humano">
              <a:extLst>
                <a:ext uri="{FF2B5EF4-FFF2-40B4-BE49-F238E27FC236}">
                  <a16:creationId xmlns:a16="http://schemas.microsoft.com/office/drawing/2014/main" id="{00000000-0008-0000-0700-000035000000}"/>
                </a:ext>
              </a:extLst>
            </xdr:cNvPr>
            <xdr:cNvSpPr txBox="1"/>
          </xdr:nvSpPr>
          <xdr:spPr>
            <a:xfrm>
              <a:off x="17824" y="33875"/>
              <a:ext cx="1294233" cy="687622"/>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533400" latinLnBrk="0">
                <a:lnSpc>
                  <a:spcPct val="90000"/>
                </a:lnSpc>
                <a:spcBef>
                  <a:spcPts val="500"/>
                </a:spcBef>
                <a:spcAft>
                  <a:spcPts val="0"/>
                </a:spcAft>
                <a:buClrTx/>
                <a:buSzTx/>
                <a:buFontTx/>
                <a:buNone/>
                <a:defRPr sz="1200" b="0" i="0" u="none" strike="noStrike" cap="none" spc="0" baseline="0">
                  <a:solidFill>
                    <a:srgbClr val="FFFFFF"/>
                  </a:solidFill>
                  <a:uFillTx/>
                  <a:latin typeface="Calibri"/>
                  <a:ea typeface="Calibri"/>
                  <a:cs typeface="Calibri"/>
                  <a:sym typeface="Calibri"/>
                </a:defRPr>
              </a:pPr>
              <a:r>
                <a:rPr sz="1200" b="0" i="0" u="none" strike="noStrike" cap="none" spc="0" baseline="0">
                  <a:solidFill>
                    <a:srgbClr val="FFFFFF"/>
                  </a:solidFill>
                  <a:uFillTx/>
                  <a:latin typeface="Calibri"/>
                  <a:ea typeface="Calibri"/>
                  <a:cs typeface="Calibri"/>
                  <a:sym typeface="Calibri"/>
                </a:rPr>
                <a:t>Fortalecer las competencias del capital humano</a:t>
              </a:r>
            </a:p>
          </xdr:txBody>
        </xdr:sp>
      </xdr:grpSp>
      <xdr:grpSp>
        <xdr:nvGrpSpPr>
          <xdr:cNvPr id="57" name="Agrupar">
            <a:extLst>
              <a:ext uri="{FF2B5EF4-FFF2-40B4-BE49-F238E27FC236}">
                <a16:creationId xmlns:a16="http://schemas.microsoft.com/office/drawing/2014/main" id="{00000000-0008-0000-0700-000039000000}"/>
              </a:ext>
            </a:extLst>
          </xdr:cNvPr>
          <xdr:cNvGrpSpPr/>
        </xdr:nvGrpSpPr>
        <xdr:grpSpPr>
          <a:xfrm>
            <a:off x="27222" y="1970034"/>
            <a:ext cx="1329881" cy="1329881"/>
            <a:chOff x="0" y="0"/>
            <a:chExt cx="1329879" cy="1329879"/>
          </a:xfrm>
        </xdr:grpSpPr>
        <xdr:sp macro="" textlink="">
          <xdr:nvSpPr>
            <xdr:cNvPr id="55" name="Rectángulo redondeado">
              <a:extLst>
                <a:ext uri="{FF2B5EF4-FFF2-40B4-BE49-F238E27FC236}">
                  <a16:creationId xmlns:a16="http://schemas.microsoft.com/office/drawing/2014/main" id="{00000000-0008-0000-0700-000037000000}"/>
                </a:ext>
              </a:extLst>
            </xdr:cNvPr>
            <xdr:cNvSpPr/>
          </xdr:nvSpPr>
          <xdr:spPr>
            <a:xfrm>
              <a:off x="0" y="0"/>
              <a:ext cx="1329880" cy="1329880"/>
            </a:xfrm>
            <a:prstGeom prst="roundRect">
              <a:avLst>
                <a:gd name="adj" fmla="val 16667"/>
              </a:avLst>
            </a:prstGeom>
            <a:gradFill flip="none" rotWithShape="1">
              <a:gsLst>
                <a:gs pos="0">
                  <a:srgbClr val="70A6DB"/>
                </a:gs>
                <a:gs pos="50000">
                  <a:srgbClr val="559BDB"/>
                </a:gs>
                <a:gs pos="100000">
                  <a:srgbClr val="448AC9"/>
                </a:gs>
              </a:gsLst>
              <a:lin ang="5400000" scaled="0"/>
            </a:gradFill>
            <a:ln w="12700" cap="flat">
              <a:noFill/>
              <a:miter lim="400000"/>
            </a:ln>
            <a:effectLst/>
          </xdr:spPr>
          <xdr:txBody>
            <a:bodyPr/>
            <a:lstStyle/>
            <a:p>
              <a:endParaRPr/>
            </a:p>
          </xdr:txBody>
        </xdr:sp>
        <xdr:sp macro="" textlink="">
          <xdr:nvSpPr>
            <xdr:cNvPr id="56" name="Mejorar el posionamiento de EMELCE a nivel nacional">
              <a:extLst>
                <a:ext uri="{FF2B5EF4-FFF2-40B4-BE49-F238E27FC236}">
                  <a16:creationId xmlns:a16="http://schemas.microsoft.com/office/drawing/2014/main" id="{00000000-0008-0000-0700-000038000000}"/>
                </a:ext>
              </a:extLst>
            </xdr:cNvPr>
            <xdr:cNvSpPr txBox="1"/>
          </xdr:nvSpPr>
          <xdr:spPr>
            <a:xfrm>
              <a:off x="45869" y="220611"/>
              <a:ext cx="1238142" cy="888658"/>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533400" latinLnBrk="0">
                <a:lnSpc>
                  <a:spcPct val="90000"/>
                </a:lnSpc>
                <a:spcBef>
                  <a:spcPts val="500"/>
                </a:spcBef>
                <a:spcAft>
                  <a:spcPts val="0"/>
                </a:spcAft>
                <a:buClrTx/>
                <a:buSzTx/>
                <a:buFontTx/>
                <a:buNone/>
                <a:defRPr sz="1200" b="0" i="0" u="none" strike="noStrike" cap="none" spc="0" baseline="0">
                  <a:solidFill>
                    <a:srgbClr val="FFFFFF"/>
                  </a:solidFill>
                  <a:uFillTx/>
                  <a:latin typeface="Calibri"/>
                  <a:ea typeface="Calibri"/>
                  <a:cs typeface="Calibri"/>
                  <a:sym typeface="Calibri"/>
                </a:defRPr>
              </a:pPr>
              <a:r>
                <a:rPr sz="1200" b="0" i="0" u="none" strike="noStrike" cap="none" spc="0" baseline="0">
                  <a:solidFill>
                    <a:srgbClr val="FFFFFF"/>
                  </a:solidFill>
                  <a:uFillTx/>
                  <a:latin typeface="Calibri"/>
                  <a:ea typeface="Calibri"/>
                  <a:cs typeface="Calibri"/>
                  <a:sym typeface="Calibri"/>
                </a:rPr>
                <a:t>Mejorar el posionamiento de EMELCE a nivel nacional</a:t>
              </a:r>
            </a:p>
          </xdr:txBody>
        </xdr:sp>
      </xdr:grpSp>
      <xdr:grpSp>
        <xdr:nvGrpSpPr>
          <xdr:cNvPr id="60" name="Agrupar">
            <a:extLst>
              <a:ext uri="{FF2B5EF4-FFF2-40B4-BE49-F238E27FC236}">
                <a16:creationId xmlns:a16="http://schemas.microsoft.com/office/drawing/2014/main" id="{00000000-0008-0000-0700-00003C000000}"/>
              </a:ext>
            </a:extLst>
          </xdr:cNvPr>
          <xdr:cNvGrpSpPr/>
        </xdr:nvGrpSpPr>
        <xdr:grpSpPr>
          <a:xfrm>
            <a:off x="5680131" y="2122047"/>
            <a:ext cx="1552756" cy="1149429"/>
            <a:chOff x="0" y="0"/>
            <a:chExt cx="1552755" cy="1149428"/>
          </a:xfrm>
        </xdr:grpSpPr>
        <xdr:sp macro="" textlink="">
          <xdr:nvSpPr>
            <xdr:cNvPr id="58" name="Rectángulo redondeado">
              <a:extLst>
                <a:ext uri="{FF2B5EF4-FFF2-40B4-BE49-F238E27FC236}">
                  <a16:creationId xmlns:a16="http://schemas.microsoft.com/office/drawing/2014/main" id="{00000000-0008-0000-0700-00003A000000}"/>
                </a:ext>
              </a:extLst>
            </xdr:cNvPr>
            <xdr:cNvSpPr/>
          </xdr:nvSpPr>
          <xdr:spPr>
            <a:xfrm>
              <a:off x="0" y="0"/>
              <a:ext cx="1552756" cy="1149429"/>
            </a:xfrm>
            <a:prstGeom prst="roundRect">
              <a:avLst>
                <a:gd name="adj" fmla="val 16667"/>
              </a:avLst>
            </a:prstGeom>
            <a:gradFill flip="none" rotWithShape="1">
              <a:gsLst>
                <a:gs pos="0">
                  <a:srgbClr val="70A6DB"/>
                </a:gs>
                <a:gs pos="50000">
                  <a:srgbClr val="559BDB"/>
                </a:gs>
                <a:gs pos="100000">
                  <a:srgbClr val="448AC9"/>
                </a:gs>
              </a:gsLst>
              <a:lin ang="5400000" scaled="0"/>
            </a:gradFill>
            <a:ln w="12700" cap="flat">
              <a:noFill/>
              <a:miter lim="400000"/>
            </a:ln>
            <a:effectLst/>
          </xdr:spPr>
          <xdr:txBody>
            <a:bodyPr/>
            <a:lstStyle/>
            <a:p>
              <a:endParaRPr/>
            </a:p>
          </xdr:txBody>
        </xdr:sp>
        <xdr:sp macro="" textlink="">
          <xdr:nvSpPr>
            <xdr:cNvPr id="59" name="Fortalecer la planeación y ejecución de las innversiones">
              <a:extLst>
                <a:ext uri="{FF2B5EF4-FFF2-40B4-BE49-F238E27FC236}">
                  <a16:creationId xmlns:a16="http://schemas.microsoft.com/office/drawing/2014/main" id="{00000000-0008-0000-0700-00003B000000}"/>
                </a:ext>
              </a:extLst>
            </xdr:cNvPr>
            <xdr:cNvSpPr txBox="1"/>
          </xdr:nvSpPr>
          <xdr:spPr>
            <a:xfrm>
              <a:off x="37060" y="130385"/>
              <a:ext cx="1478636" cy="8886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533400" latinLnBrk="0">
                <a:lnSpc>
                  <a:spcPct val="90000"/>
                </a:lnSpc>
                <a:spcBef>
                  <a:spcPts val="500"/>
                </a:spcBef>
                <a:spcAft>
                  <a:spcPts val="0"/>
                </a:spcAft>
                <a:buClrTx/>
                <a:buSzTx/>
                <a:buFontTx/>
                <a:buNone/>
                <a:defRPr sz="1200" b="0" i="0" u="none" strike="noStrike" cap="none" spc="0" baseline="0">
                  <a:solidFill>
                    <a:srgbClr val="FFFFFF"/>
                  </a:solidFill>
                  <a:uFillTx/>
                  <a:latin typeface="Calibri"/>
                  <a:ea typeface="Calibri"/>
                  <a:cs typeface="Calibri"/>
                  <a:sym typeface="Calibri"/>
                </a:defRPr>
              </a:pPr>
              <a:r>
                <a:rPr sz="1200" b="0" i="0" u="none" strike="noStrike" cap="none" spc="0" baseline="0">
                  <a:solidFill>
                    <a:srgbClr val="FFFFFF"/>
                  </a:solidFill>
                  <a:uFillTx/>
                  <a:latin typeface="Calibri"/>
                  <a:ea typeface="Calibri"/>
                  <a:cs typeface="Calibri"/>
                  <a:sym typeface="Calibri"/>
                </a:rPr>
                <a:t>Fortalecer la planeación y ejecución de las innversiones</a:t>
              </a:r>
            </a:p>
          </xdr:txBody>
        </xdr:sp>
      </xdr:grpSp>
    </xdr:grpSp>
    <xdr:clientData/>
  </xdr:twoCellAnchor>
  <xdr:twoCellAnchor>
    <xdr:from>
      <xdr:col>6</xdr:col>
      <xdr:colOff>428625</xdr:colOff>
      <xdr:row>10</xdr:row>
      <xdr:rowOff>52464</xdr:rowOff>
    </xdr:from>
    <xdr:to>
      <xdr:col>9</xdr:col>
      <xdr:colOff>752475</xdr:colOff>
      <xdr:row>17</xdr:row>
      <xdr:rowOff>90564</xdr:rowOff>
    </xdr:to>
    <xdr:sp macro="" textlink="">
      <xdr:nvSpPr>
        <xdr:cNvPr id="62" name="Text Box 3">
          <a:extLst>
            <a:ext uri="{FF2B5EF4-FFF2-40B4-BE49-F238E27FC236}">
              <a16:creationId xmlns:a16="http://schemas.microsoft.com/office/drawing/2014/main" id="{00000000-0008-0000-0700-00003E000000}"/>
            </a:ext>
          </a:extLst>
        </xdr:cNvPr>
        <xdr:cNvSpPr txBox="1"/>
      </xdr:nvSpPr>
      <xdr:spPr>
        <a:xfrm>
          <a:off x="5686425" y="3407169"/>
          <a:ext cx="2952750" cy="1971676"/>
        </a:xfrm>
        <a:prstGeom prst="rect">
          <a:avLst/>
        </a:prstGeom>
        <a:solidFill>
          <a:srgbClr val="9DC3E6"/>
        </a:solidFill>
        <a:ln w="57150" cap="flat">
          <a:solidFill>
            <a:srgbClr val="153553"/>
          </a:solidFill>
          <a:prstDash val="solid"/>
          <a:miter lim="8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0" tIns="0" rIns="0" bIns="0" numCol="1" anchor="t">
          <a:noAutofit/>
        </a:bodyPr>
        <a:lstStyle/>
        <a:p>
          <a:pPr marL="0" marR="0" indent="0" algn="ctr" defTabSz="914400" latinLnBrk="0">
            <a:lnSpc>
              <a:spcPct val="100000"/>
            </a:lnSpc>
            <a:spcBef>
              <a:spcPts val="0"/>
            </a:spcBef>
            <a:spcAft>
              <a:spcPts val="0"/>
            </a:spcAft>
            <a:buClrTx/>
            <a:buSzTx/>
            <a:buFontTx/>
            <a:buNone/>
            <a:defRPr sz="1400" b="1" i="0" u="none" strike="noStrike" cap="none" spc="0" baseline="0">
              <a:solidFill>
                <a:srgbClr val="153553"/>
              </a:solidFill>
              <a:uFillTx/>
              <a:latin typeface="Arial"/>
              <a:ea typeface="Arial"/>
              <a:cs typeface="Arial"/>
              <a:sym typeface="Arial"/>
            </a:defRPr>
          </a:pPr>
          <a:endParaRPr sz="1400" b="1" i="0" u="none" strike="noStrike" cap="none" spc="0" baseline="0">
            <a:solidFill>
              <a:srgbClr val="153553"/>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defRPr sz="1400" b="1" i="0" u="none" strike="noStrike" cap="none" spc="0" baseline="0">
              <a:solidFill>
                <a:srgbClr val="153553"/>
              </a:solidFill>
              <a:uFillTx/>
              <a:latin typeface="Arial"/>
              <a:ea typeface="Arial"/>
              <a:cs typeface="Arial"/>
              <a:sym typeface="Arial"/>
            </a:defRPr>
          </a:pPr>
          <a:endParaRPr sz="1400" b="1" i="0" u="none" strike="noStrike" cap="none" spc="0" baseline="0">
            <a:solidFill>
              <a:srgbClr val="153553"/>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defRPr sz="1400" b="1" i="0" u="none" strike="noStrike" cap="none" spc="0" baseline="0">
              <a:solidFill>
                <a:srgbClr val="153553"/>
              </a:solidFill>
              <a:uFillTx/>
              <a:latin typeface="Arial"/>
              <a:ea typeface="Arial"/>
              <a:cs typeface="Arial"/>
              <a:sym typeface="Arial"/>
            </a:defRPr>
          </a:pPr>
          <a:endParaRPr sz="1400" b="1" i="0" u="none" strike="noStrike" cap="none" spc="0" baseline="0">
            <a:solidFill>
              <a:srgbClr val="153553"/>
            </a:solidFill>
            <a:uFillTx/>
            <a:latin typeface="Arial"/>
            <a:ea typeface="Arial"/>
            <a:cs typeface="Arial"/>
            <a:sym typeface="Arial"/>
          </a:endParaRPr>
        </a:p>
        <a:p>
          <a:pPr marL="0" marR="0" indent="0" algn="ctr" defTabSz="914400" latinLnBrk="0">
            <a:lnSpc>
              <a:spcPct val="100000"/>
            </a:lnSpc>
            <a:spcBef>
              <a:spcPts val="0"/>
            </a:spcBef>
            <a:spcAft>
              <a:spcPts val="0"/>
            </a:spcAft>
            <a:buClrTx/>
            <a:buSzTx/>
            <a:buFontTx/>
            <a:buNone/>
            <a:defRPr sz="1400" b="1" i="0" u="none" strike="noStrike" cap="none" spc="0" baseline="0">
              <a:solidFill>
                <a:srgbClr val="153553"/>
              </a:solidFill>
              <a:uFillTx/>
              <a:latin typeface="Arial"/>
              <a:ea typeface="Arial"/>
              <a:cs typeface="Arial"/>
              <a:sym typeface="Arial"/>
            </a:defRPr>
          </a:pPr>
          <a:r>
            <a:rPr sz="1400" b="1" i="0" u="none" strike="noStrike" cap="none" spc="0" baseline="0">
              <a:solidFill>
                <a:srgbClr val="153553"/>
              </a:solidFill>
              <a:uFillTx/>
              <a:latin typeface="Arial"/>
              <a:ea typeface="Arial"/>
              <a:cs typeface="Arial"/>
              <a:sym typeface="Arial"/>
            </a:rPr>
            <a:t>GENERAR VALOR </a:t>
          </a:r>
        </a:p>
      </xdr:txBody>
    </xdr:sp>
    <xdr:clientData/>
  </xdr:twoCellAnchor>
  <xdr:twoCellAnchor>
    <xdr:from>
      <xdr:col>5</xdr:col>
      <xdr:colOff>352425</xdr:colOff>
      <xdr:row>9</xdr:row>
      <xdr:rowOff>104854</xdr:rowOff>
    </xdr:from>
    <xdr:to>
      <xdr:col>7</xdr:col>
      <xdr:colOff>28575</xdr:colOff>
      <xdr:row>9</xdr:row>
      <xdr:rowOff>589486</xdr:rowOff>
    </xdr:to>
    <xdr:grpSp>
      <xdr:nvGrpSpPr>
        <xdr:cNvPr id="65" name="Flecha derecha 15">
          <a:extLst>
            <a:ext uri="{FF2B5EF4-FFF2-40B4-BE49-F238E27FC236}">
              <a16:creationId xmlns:a16="http://schemas.microsoft.com/office/drawing/2014/main" id="{00000000-0008-0000-0700-000041000000}"/>
            </a:ext>
          </a:extLst>
        </xdr:cNvPr>
        <xdr:cNvGrpSpPr/>
      </xdr:nvGrpSpPr>
      <xdr:grpSpPr>
        <a:xfrm>
          <a:off x="4352925" y="2790904"/>
          <a:ext cx="1276350" cy="484632"/>
          <a:chOff x="0" y="0"/>
          <a:chExt cx="1428750" cy="484632"/>
        </a:xfrm>
      </xdr:grpSpPr>
      <xdr:sp macro="" textlink="">
        <xdr:nvSpPr>
          <xdr:cNvPr id="63" name="Flecha">
            <a:extLst>
              <a:ext uri="{FF2B5EF4-FFF2-40B4-BE49-F238E27FC236}">
                <a16:creationId xmlns:a16="http://schemas.microsoft.com/office/drawing/2014/main" id="{00000000-0008-0000-0700-00003F000000}"/>
              </a:ext>
            </a:extLst>
          </xdr:cNvPr>
          <xdr:cNvSpPr/>
        </xdr:nvSpPr>
        <xdr:spPr>
          <a:xfrm flipH="1">
            <a:off x="0" y="0"/>
            <a:ext cx="1428750" cy="484633"/>
          </a:xfrm>
          <a:prstGeom prst="rightArrow">
            <a:avLst>
              <a:gd name="adj1" fmla="val 50000"/>
              <a:gd name="adj2" fmla="val 50000"/>
            </a:avLst>
          </a:prstGeom>
          <a:gradFill flip="none" rotWithShape="1">
            <a:gsLst>
              <a:gs pos="0">
                <a:srgbClr val="474747"/>
              </a:gs>
              <a:gs pos="50000">
                <a:srgbClr val="000000"/>
              </a:gs>
              <a:gs pos="100000">
                <a:srgbClr val="000000"/>
              </a:gs>
            </a:gsLst>
            <a:lin ang="5400000" scaled="0"/>
          </a:gradFill>
          <a:ln w="12700" cap="flat">
            <a:noFill/>
            <a:miter lim="400000"/>
          </a:ln>
          <a:effectLst>
            <a:outerShdw blurRad="63500" dist="19050" dir="5400000" rotWithShape="0">
              <a:srgbClr val="000000">
                <a:alpha val="63000"/>
              </a:srgbClr>
            </a:outerShdw>
          </a:effectLst>
        </xdr:spPr>
        <xdr:txBody>
          <a:bodyPr/>
          <a:lstStyle/>
          <a:p>
            <a:endParaRPr/>
          </a:p>
        </xdr:txBody>
      </xdr:sp>
      <xdr:sp macro="" textlink="">
        <xdr:nvSpPr>
          <xdr:cNvPr id="64" name="Financieros">
            <a:extLst>
              <a:ext uri="{FF2B5EF4-FFF2-40B4-BE49-F238E27FC236}">
                <a16:creationId xmlns:a16="http://schemas.microsoft.com/office/drawing/2014/main" id="{00000000-0008-0000-0700-000040000000}"/>
              </a:ext>
            </a:extLst>
          </xdr:cNvPr>
          <xdr:cNvSpPr txBox="1"/>
        </xdr:nvSpPr>
        <xdr:spPr>
          <a:xfrm>
            <a:off x="147828" y="102984"/>
            <a:ext cx="1254252" cy="278664"/>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FFFFFF"/>
                </a:solidFill>
                <a:uFillTx/>
                <a:latin typeface="Calibri"/>
                <a:ea typeface="Calibri"/>
                <a:cs typeface="Calibri"/>
                <a:sym typeface="Calibri"/>
              </a:defRPr>
            </a:pPr>
            <a:r>
              <a:rPr sz="1100" b="0" i="0" u="none" strike="noStrike" cap="none" spc="0" baseline="0">
                <a:solidFill>
                  <a:srgbClr val="FFFFFF"/>
                </a:solidFill>
                <a:uFillTx/>
                <a:latin typeface="Calibri"/>
                <a:ea typeface="Calibri"/>
                <a:cs typeface="Calibri"/>
                <a:sym typeface="Calibri"/>
              </a:rPr>
              <a:t>Financieros</a:t>
            </a:r>
          </a:p>
        </xdr:txBody>
      </xdr:sp>
    </xdr:grpSp>
    <xdr:clientData/>
  </xdr:twoCellAnchor>
  <xdr:twoCellAnchor>
    <xdr:from>
      <xdr:col>5</xdr:col>
      <xdr:colOff>333375</xdr:colOff>
      <xdr:row>16</xdr:row>
      <xdr:rowOff>66754</xdr:rowOff>
    </xdr:from>
    <xdr:to>
      <xdr:col>6</xdr:col>
      <xdr:colOff>733425</xdr:colOff>
      <xdr:row>18</xdr:row>
      <xdr:rowOff>56086</xdr:rowOff>
    </xdr:to>
    <xdr:grpSp>
      <xdr:nvGrpSpPr>
        <xdr:cNvPr id="68" name="Flecha derecha 16">
          <a:extLst>
            <a:ext uri="{FF2B5EF4-FFF2-40B4-BE49-F238E27FC236}">
              <a16:creationId xmlns:a16="http://schemas.microsoft.com/office/drawing/2014/main" id="{00000000-0008-0000-0700-000044000000}"/>
            </a:ext>
          </a:extLst>
        </xdr:cNvPr>
        <xdr:cNvGrpSpPr/>
      </xdr:nvGrpSpPr>
      <xdr:grpSpPr>
        <a:xfrm>
          <a:off x="4333875" y="5146754"/>
          <a:ext cx="1200150" cy="484632"/>
          <a:chOff x="0" y="0"/>
          <a:chExt cx="1276350" cy="484632"/>
        </a:xfrm>
      </xdr:grpSpPr>
      <xdr:sp macro="" textlink="">
        <xdr:nvSpPr>
          <xdr:cNvPr id="66" name="Flecha">
            <a:extLst>
              <a:ext uri="{FF2B5EF4-FFF2-40B4-BE49-F238E27FC236}">
                <a16:creationId xmlns:a16="http://schemas.microsoft.com/office/drawing/2014/main" id="{00000000-0008-0000-0700-000042000000}"/>
              </a:ext>
            </a:extLst>
          </xdr:cNvPr>
          <xdr:cNvSpPr/>
        </xdr:nvSpPr>
        <xdr:spPr>
          <a:xfrm flipH="1">
            <a:off x="0" y="0"/>
            <a:ext cx="1276350" cy="484633"/>
          </a:xfrm>
          <a:prstGeom prst="rightArrow">
            <a:avLst>
              <a:gd name="adj1" fmla="val 50000"/>
              <a:gd name="adj2" fmla="val 50000"/>
            </a:avLst>
          </a:prstGeom>
          <a:gradFill flip="none" rotWithShape="1">
            <a:gsLst>
              <a:gs pos="0">
                <a:srgbClr val="474747"/>
              </a:gs>
              <a:gs pos="50000">
                <a:srgbClr val="000000"/>
              </a:gs>
              <a:gs pos="100000">
                <a:srgbClr val="000000"/>
              </a:gs>
            </a:gsLst>
            <a:lin ang="5400000" scaled="0"/>
          </a:gradFill>
          <a:ln w="12700" cap="flat">
            <a:noFill/>
            <a:miter lim="400000"/>
          </a:ln>
          <a:effectLst>
            <a:outerShdw blurRad="63500" dist="19050" dir="5400000" rotWithShape="0">
              <a:srgbClr val="000000">
                <a:alpha val="63000"/>
              </a:srgbClr>
            </a:outerShdw>
          </a:effectLst>
        </xdr:spPr>
        <xdr:txBody>
          <a:bodyPr/>
          <a:lstStyle/>
          <a:p>
            <a:endParaRPr/>
          </a:p>
        </xdr:txBody>
      </xdr:sp>
      <xdr:sp macro="" textlink="">
        <xdr:nvSpPr>
          <xdr:cNvPr id="67" name="Clientes">
            <a:extLst>
              <a:ext uri="{FF2B5EF4-FFF2-40B4-BE49-F238E27FC236}">
                <a16:creationId xmlns:a16="http://schemas.microsoft.com/office/drawing/2014/main" id="{00000000-0008-0000-0700-000043000000}"/>
              </a:ext>
            </a:extLst>
          </xdr:cNvPr>
          <xdr:cNvSpPr txBox="1"/>
        </xdr:nvSpPr>
        <xdr:spPr>
          <a:xfrm>
            <a:off x="147828" y="102984"/>
            <a:ext cx="1101852" cy="278664"/>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FFFFFF"/>
                </a:solidFill>
                <a:uFillTx/>
                <a:latin typeface="Calibri"/>
                <a:ea typeface="Calibri"/>
                <a:cs typeface="Calibri"/>
                <a:sym typeface="Calibri"/>
              </a:defRPr>
            </a:pPr>
            <a:r>
              <a:rPr sz="1100" b="0" i="0" u="none" strike="noStrike" cap="none" spc="0" baseline="0">
                <a:solidFill>
                  <a:srgbClr val="FFFFFF"/>
                </a:solidFill>
                <a:uFillTx/>
                <a:latin typeface="Calibri"/>
                <a:ea typeface="Calibri"/>
                <a:cs typeface="Calibri"/>
                <a:sym typeface="Calibri"/>
              </a:rPr>
              <a:t>Clientes</a:t>
            </a:r>
          </a:p>
        </xdr:txBody>
      </xdr:sp>
    </xdr:grpSp>
    <xdr:clientData/>
  </xdr:twoCellAnchor>
  <xdr:twoCellAnchor>
    <xdr:from>
      <xdr:col>9</xdr:col>
      <xdr:colOff>521968</xdr:colOff>
      <xdr:row>9</xdr:row>
      <xdr:rowOff>114379</xdr:rowOff>
    </xdr:from>
    <xdr:to>
      <xdr:col>11</xdr:col>
      <xdr:colOff>179069</xdr:colOff>
      <xdr:row>9</xdr:row>
      <xdr:rowOff>597106</xdr:rowOff>
    </xdr:to>
    <xdr:grpSp>
      <xdr:nvGrpSpPr>
        <xdr:cNvPr id="71" name="Flecha derecha 17">
          <a:extLst>
            <a:ext uri="{FF2B5EF4-FFF2-40B4-BE49-F238E27FC236}">
              <a16:creationId xmlns:a16="http://schemas.microsoft.com/office/drawing/2014/main" id="{00000000-0008-0000-0700-000047000000}"/>
            </a:ext>
          </a:extLst>
        </xdr:cNvPr>
        <xdr:cNvGrpSpPr/>
      </xdr:nvGrpSpPr>
      <xdr:grpSpPr>
        <a:xfrm>
          <a:off x="7722868" y="2800429"/>
          <a:ext cx="1257301" cy="482727"/>
          <a:chOff x="0" y="0"/>
          <a:chExt cx="1409700" cy="482726"/>
        </a:xfrm>
      </xdr:grpSpPr>
      <xdr:sp macro="" textlink="">
        <xdr:nvSpPr>
          <xdr:cNvPr id="69" name="Flecha">
            <a:extLst>
              <a:ext uri="{FF2B5EF4-FFF2-40B4-BE49-F238E27FC236}">
                <a16:creationId xmlns:a16="http://schemas.microsoft.com/office/drawing/2014/main" id="{00000000-0008-0000-0700-000045000000}"/>
              </a:ext>
            </a:extLst>
          </xdr:cNvPr>
          <xdr:cNvSpPr/>
        </xdr:nvSpPr>
        <xdr:spPr>
          <a:xfrm>
            <a:off x="0" y="0"/>
            <a:ext cx="1409701" cy="482727"/>
          </a:xfrm>
          <a:prstGeom prst="rightArrow">
            <a:avLst>
              <a:gd name="adj1" fmla="val 50000"/>
              <a:gd name="adj2" fmla="val 50000"/>
            </a:avLst>
          </a:prstGeom>
          <a:gradFill flip="none" rotWithShape="1">
            <a:gsLst>
              <a:gs pos="0">
                <a:srgbClr val="474747"/>
              </a:gs>
              <a:gs pos="50000">
                <a:srgbClr val="000000"/>
              </a:gs>
              <a:gs pos="100000">
                <a:srgbClr val="000000"/>
              </a:gs>
            </a:gsLst>
            <a:lin ang="5400000" scaled="0"/>
          </a:gradFill>
          <a:ln w="12700" cap="flat">
            <a:noFill/>
            <a:miter lim="400000"/>
          </a:ln>
          <a:effectLst>
            <a:outerShdw blurRad="63500" dist="19050" dir="5400000" rotWithShape="0">
              <a:srgbClr val="000000">
                <a:alpha val="63000"/>
              </a:srgbClr>
            </a:outerShdw>
          </a:effectLst>
        </xdr:spPr>
        <xdr:txBody>
          <a:bodyPr/>
          <a:lstStyle/>
          <a:p>
            <a:endParaRPr/>
          </a:p>
        </xdr:txBody>
      </xdr:sp>
      <xdr:sp macro="" textlink="">
        <xdr:nvSpPr>
          <xdr:cNvPr id="70" name="Procesos">
            <a:extLst>
              <a:ext uri="{FF2B5EF4-FFF2-40B4-BE49-F238E27FC236}">
                <a16:creationId xmlns:a16="http://schemas.microsoft.com/office/drawing/2014/main" id="{00000000-0008-0000-0700-000046000000}"/>
              </a:ext>
            </a:extLst>
          </xdr:cNvPr>
          <xdr:cNvSpPr txBox="1"/>
        </xdr:nvSpPr>
        <xdr:spPr>
          <a:xfrm>
            <a:off x="26670" y="102579"/>
            <a:ext cx="1235679" cy="27756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FFFFFF"/>
                </a:solidFill>
                <a:uFillTx/>
                <a:latin typeface="Calibri"/>
                <a:ea typeface="Calibri"/>
                <a:cs typeface="Calibri"/>
                <a:sym typeface="Calibri"/>
              </a:defRPr>
            </a:pPr>
            <a:r>
              <a:rPr sz="1100" b="0" i="0" u="none" strike="noStrike" cap="none" spc="0" baseline="0">
                <a:solidFill>
                  <a:srgbClr val="FFFFFF"/>
                </a:solidFill>
                <a:uFillTx/>
                <a:latin typeface="Calibri"/>
                <a:ea typeface="Calibri"/>
                <a:cs typeface="Calibri"/>
                <a:sym typeface="Calibri"/>
              </a:rPr>
              <a:t>Procesos</a:t>
            </a:r>
          </a:p>
        </xdr:txBody>
      </xdr:sp>
    </xdr:grpSp>
    <xdr:clientData/>
  </xdr:twoCellAnchor>
  <xdr:twoCellAnchor>
    <xdr:from>
      <xdr:col>9</xdr:col>
      <xdr:colOff>523875</xdr:colOff>
      <xdr:row>16</xdr:row>
      <xdr:rowOff>66754</xdr:rowOff>
    </xdr:from>
    <xdr:to>
      <xdr:col>11</xdr:col>
      <xdr:colOff>219075</xdr:colOff>
      <xdr:row>18</xdr:row>
      <xdr:rowOff>56086</xdr:rowOff>
    </xdr:to>
    <xdr:grpSp>
      <xdr:nvGrpSpPr>
        <xdr:cNvPr id="74" name="Flecha derecha 18">
          <a:extLst>
            <a:ext uri="{FF2B5EF4-FFF2-40B4-BE49-F238E27FC236}">
              <a16:creationId xmlns:a16="http://schemas.microsoft.com/office/drawing/2014/main" id="{00000000-0008-0000-0700-00004A000000}"/>
            </a:ext>
          </a:extLst>
        </xdr:cNvPr>
        <xdr:cNvGrpSpPr/>
      </xdr:nvGrpSpPr>
      <xdr:grpSpPr>
        <a:xfrm>
          <a:off x="7724775" y="5146754"/>
          <a:ext cx="1295400" cy="484632"/>
          <a:chOff x="0" y="0"/>
          <a:chExt cx="1447800" cy="484632"/>
        </a:xfrm>
      </xdr:grpSpPr>
      <xdr:sp macro="" textlink="">
        <xdr:nvSpPr>
          <xdr:cNvPr id="72" name="Flecha">
            <a:extLst>
              <a:ext uri="{FF2B5EF4-FFF2-40B4-BE49-F238E27FC236}">
                <a16:creationId xmlns:a16="http://schemas.microsoft.com/office/drawing/2014/main" id="{00000000-0008-0000-0700-000048000000}"/>
              </a:ext>
            </a:extLst>
          </xdr:cNvPr>
          <xdr:cNvSpPr/>
        </xdr:nvSpPr>
        <xdr:spPr>
          <a:xfrm>
            <a:off x="0" y="0"/>
            <a:ext cx="1447800" cy="484633"/>
          </a:xfrm>
          <a:prstGeom prst="rightArrow">
            <a:avLst>
              <a:gd name="adj1" fmla="val 50000"/>
              <a:gd name="adj2" fmla="val 50000"/>
            </a:avLst>
          </a:prstGeom>
          <a:gradFill flip="none" rotWithShape="1">
            <a:gsLst>
              <a:gs pos="0">
                <a:srgbClr val="474747"/>
              </a:gs>
              <a:gs pos="50000">
                <a:srgbClr val="000000"/>
              </a:gs>
              <a:gs pos="100000">
                <a:srgbClr val="000000"/>
              </a:gs>
            </a:gsLst>
            <a:lin ang="5400000" scaled="0"/>
          </a:gradFill>
          <a:ln w="12700" cap="flat">
            <a:noFill/>
            <a:miter lim="400000"/>
          </a:ln>
          <a:effectLst>
            <a:outerShdw blurRad="63500" dist="19050" dir="5400000" rotWithShape="0">
              <a:srgbClr val="000000">
                <a:alpha val="63000"/>
              </a:srgbClr>
            </a:outerShdw>
          </a:effectLst>
        </xdr:spPr>
        <xdr:txBody>
          <a:bodyPr/>
          <a:lstStyle/>
          <a:p>
            <a:endParaRPr/>
          </a:p>
        </xdr:txBody>
      </xdr:sp>
      <xdr:sp macro="" textlink="">
        <xdr:nvSpPr>
          <xdr:cNvPr id="73" name="Fortalecimiento">
            <a:extLst>
              <a:ext uri="{FF2B5EF4-FFF2-40B4-BE49-F238E27FC236}">
                <a16:creationId xmlns:a16="http://schemas.microsoft.com/office/drawing/2014/main" id="{00000000-0008-0000-0700-000049000000}"/>
              </a:ext>
            </a:extLst>
          </xdr:cNvPr>
          <xdr:cNvSpPr txBox="1"/>
        </xdr:nvSpPr>
        <xdr:spPr>
          <a:xfrm>
            <a:off x="26670" y="102984"/>
            <a:ext cx="1273302" cy="278664"/>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defRPr sz="1100" b="0" i="0" u="none" strike="noStrike" cap="none" spc="0" baseline="0">
                <a:solidFill>
                  <a:srgbClr val="FFFFFF"/>
                </a:solidFill>
                <a:uFillTx/>
                <a:latin typeface="Calibri"/>
                <a:ea typeface="Calibri"/>
                <a:cs typeface="Calibri"/>
                <a:sym typeface="Calibri"/>
              </a:defRPr>
            </a:pPr>
            <a:r>
              <a:rPr sz="1100" b="0" i="0" u="none" strike="noStrike" cap="none" spc="0" baseline="0">
                <a:solidFill>
                  <a:srgbClr val="FFFFFF"/>
                </a:solidFill>
                <a:uFillTx/>
                <a:latin typeface="Calibri"/>
                <a:ea typeface="Calibri"/>
                <a:cs typeface="Calibri"/>
                <a:sym typeface="Calibri"/>
              </a:rPr>
              <a:t>Fortalecimiento</a:t>
            </a:r>
          </a:p>
        </xdr:txBody>
      </xdr:sp>
    </xdr:grpSp>
    <xdr:clientData/>
  </xdr:twoCellAnchor>
  <xdr:twoCellAnchor>
    <xdr:from>
      <xdr:col>7</xdr:col>
      <xdr:colOff>38100</xdr:colOff>
      <xdr:row>8</xdr:row>
      <xdr:rowOff>208795</xdr:rowOff>
    </xdr:from>
    <xdr:to>
      <xdr:col>9</xdr:col>
      <xdr:colOff>495300</xdr:colOff>
      <xdr:row>10</xdr:row>
      <xdr:rowOff>152478</xdr:rowOff>
    </xdr:to>
    <xdr:grpSp>
      <xdr:nvGrpSpPr>
        <xdr:cNvPr id="77" name="Llamada de flecha hacia abajo 10">
          <a:extLst>
            <a:ext uri="{FF2B5EF4-FFF2-40B4-BE49-F238E27FC236}">
              <a16:creationId xmlns:a16="http://schemas.microsoft.com/office/drawing/2014/main" id="{00000000-0008-0000-0700-00004D000000}"/>
            </a:ext>
          </a:extLst>
        </xdr:cNvPr>
        <xdr:cNvGrpSpPr/>
      </xdr:nvGrpSpPr>
      <xdr:grpSpPr>
        <a:xfrm>
          <a:off x="5638800" y="2590045"/>
          <a:ext cx="2057400" cy="902533"/>
          <a:chOff x="0" y="-35123"/>
          <a:chExt cx="2209800" cy="905707"/>
        </a:xfrm>
      </xdr:grpSpPr>
      <xdr:sp macro="" textlink="">
        <xdr:nvSpPr>
          <xdr:cNvPr id="75" name="Figura">
            <a:extLst>
              <a:ext uri="{FF2B5EF4-FFF2-40B4-BE49-F238E27FC236}">
                <a16:creationId xmlns:a16="http://schemas.microsoft.com/office/drawing/2014/main" id="{00000000-0008-0000-0700-00004B000000}"/>
              </a:ext>
            </a:extLst>
          </xdr:cNvPr>
          <xdr:cNvSpPr/>
        </xdr:nvSpPr>
        <xdr:spPr>
          <a:xfrm>
            <a:off x="0" y="0"/>
            <a:ext cx="2209801" cy="870585"/>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21600" y="0"/>
                </a:lnTo>
                <a:lnTo>
                  <a:pt x="21600" y="14035"/>
                </a:lnTo>
                <a:lnTo>
                  <a:pt x="11864" y="14035"/>
                </a:lnTo>
                <a:lnTo>
                  <a:pt x="11864" y="16200"/>
                </a:lnTo>
                <a:lnTo>
                  <a:pt x="12927" y="16200"/>
                </a:lnTo>
                <a:lnTo>
                  <a:pt x="10800" y="21600"/>
                </a:lnTo>
                <a:lnTo>
                  <a:pt x="8673" y="16200"/>
                </a:lnTo>
                <a:lnTo>
                  <a:pt x="9736" y="16200"/>
                </a:lnTo>
                <a:lnTo>
                  <a:pt x="9736" y="14035"/>
                </a:lnTo>
                <a:lnTo>
                  <a:pt x="0" y="14035"/>
                </a:lnTo>
                <a:close/>
              </a:path>
            </a:pathLst>
          </a:custGeom>
          <a:solidFill>
            <a:srgbClr val="9DC3E6"/>
          </a:solidFill>
          <a:ln w="12700" cap="flat">
            <a:solidFill>
              <a:srgbClr val="42719B"/>
            </a:solidFill>
            <a:prstDash val="solid"/>
            <a:miter lim="800000"/>
          </a:ln>
          <a:effectLst/>
        </xdr:spPr>
        <xdr:txBody>
          <a:bodyPr/>
          <a:lstStyle/>
          <a:p>
            <a:endParaRPr/>
          </a:p>
        </xdr:txBody>
      </xdr:sp>
      <xdr:sp macro="" textlink="">
        <xdr:nvSpPr>
          <xdr:cNvPr id="76" name="MEGA…">
            <a:extLst>
              <a:ext uri="{FF2B5EF4-FFF2-40B4-BE49-F238E27FC236}">
                <a16:creationId xmlns:a16="http://schemas.microsoft.com/office/drawing/2014/main" id="{00000000-0008-0000-0700-00004C000000}"/>
              </a:ext>
            </a:extLst>
          </xdr:cNvPr>
          <xdr:cNvSpPr txBox="1"/>
        </xdr:nvSpPr>
        <xdr:spPr>
          <a:xfrm>
            <a:off x="33019" y="-35124"/>
            <a:ext cx="2143762" cy="635927"/>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noAutofit/>
          </a:bodyPr>
          <a:lstStyle/>
          <a:p>
            <a:pPr marL="0" marR="0" indent="0" algn="ctr" defTabSz="914400" latinLnBrk="0">
              <a:lnSpc>
                <a:spcPct val="100000"/>
              </a:lnSpc>
              <a:spcBef>
                <a:spcPts val="0"/>
              </a:spcBef>
              <a:spcAft>
                <a:spcPts val="0"/>
              </a:spcAft>
              <a:buClrTx/>
              <a:buSzTx/>
              <a:buFontTx/>
              <a:buNone/>
              <a:defRPr sz="1600" b="1" i="0" u="none" strike="noStrike" cap="none" spc="0" baseline="0">
                <a:solidFill>
                  <a:srgbClr val="000000"/>
                </a:solidFill>
                <a:uFillTx/>
                <a:latin typeface="Century Gothic"/>
                <a:ea typeface="Century Gothic"/>
                <a:cs typeface="Century Gothic"/>
                <a:sym typeface="Century Gothic"/>
              </a:defRPr>
            </a:pPr>
            <a:r>
              <a:rPr sz="1600" b="1" i="0" u="none" strike="noStrike" cap="none" spc="0" baseline="0">
                <a:solidFill>
                  <a:srgbClr val="000000"/>
                </a:solidFill>
                <a:uFillTx/>
                <a:latin typeface="Century Gothic"/>
                <a:ea typeface="Century Gothic"/>
                <a:cs typeface="Century Gothic"/>
                <a:sym typeface="Century Gothic"/>
              </a:rPr>
              <a:t>MEGA  </a:t>
            </a:r>
            <a:endParaRPr sz="1600" b="1" i="0" u="none" strike="noStrike" cap="none" spc="0" baseline="0">
              <a:solidFill>
                <a:srgbClr val="FFFFFF"/>
              </a:solidFill>
              <a:uFillTx/>
              <a:latin typeface="Century Gothic"/>
              <a:ea typeface="Century Gothic"/>
              <a:cs typeface="Century Gothic"/>
              <a:sym typeface="Century Gothic"/>
            </a:endParaRPr>
          </a:p>
          <a:p>
            <a:pPr marL="0" marR="0" indent="0" algn="ctr" defTabSz="914400" latinLnBrk="0">
              <a:lnSpc>
                <a:spcPct val="100000"/>
              </a:lnSpc>
              <a:spcBef>
                <a:spcPts val="0"/>
              </a:spcBef>
              <a:spcAft>
                <a:spcPts val="0"/>
              </a:spcAft>
              <a:buClrTx/>
              <a:buSzTx/>
              <a:buFontTx/>
              <a:buNone/>
              <a:defRPr sz="1000" b="1" i="0" u="none" strike="noStrike" cap="none" spc="0" baseline="0">
                <a:solidFill>
                  <a:srgbClr val="000000"/>
                </a:solidFill>
                <a:uFillTx/>
                <a:latin typeface="Century Gothic"/>
                <a:ea typeface="Century Gothic"/>
                <a:cs typeface="Century Gothic"/>
                <a:sym typeface="Century Gothic"/>
              </a:defRPr>
            </a:pPr>
            <a:r>
              <a:rPr sz="1000" b="1" i="0" u="none" strike="noStrike" cap="none" spc="0" baseline="0">
                <a:solidFill>
                  <a:srgbClr val="000000"/>
                </a:solidFill>
                <a:uFillTx/>
                <a:latin typeface="Century Gothic"/>
                <a:ea typeface="Century Gothic"/>
                <a:cs typeface="Century Gothic"/>
                <a:sym typeface="Century Gothic"/>
              </a:rPr>
              <a:t>(meta grande y ambiciosa)</a:t>
            </a:r>
          </a:p>
        </xdr:txBody>
      </xdr:sp>
    </xdr:grpSp>
    <xdr:clientData/>
  </xdr:twoCellAnchor>
  <xdr:twoCellAnchor>
    <xdr:from>
      <xdr:col>0</xdr:col>
      <xdr:colOff>309880</xdr:colOff>
      <xdr:row>0</xdr:row>
      <xdr:rowOff>25400</xdr:rowOff>
    </xdr:from>
    <xdr:to>
      <xdr:col>2</xdr:col>
      <xdr:colOff>433723</xdr:colOff>
      <xdr:row>2</xdr:row>
      <xdr:rowOff>530225</xdr:rowOff>
    </xdr:to>
    <xdr:pic>
      <xdr:nvPicPr>
        <xdr:cNvPr id="78" name="Logo Emelce.png" descr="Logo Emelce.png">
          <a:extLst>
            <a:ext uri="{FF2B5EF4-FFF2-40B4-BE49-F238E27FC236}">
              <a16:creationId xmlns:a16="http://schemas.microsoft.com/office/drawing/2014/main" id="{00000000-0008-0000-0700-00004E000000}"/>
            </a:ext>
          </a:extLst>
        </xdr:cNvPr>
        <xdr:cNvPicPr>
          <a:picLocks noChangeAspect="1"/>
        </xdr:cNvPicPr>
      </xdr:nvPicPr>
      <xdr:blipFill>
        <a:blip xmlns:r="http://schemas.openxmlformats.org/officeDocument/2006/relationships" r:embed="rId1"/>
        <a:srcRect/>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41910</xdr:colOff>
      <xdr:row>4</xdr:row>
      <xdr:rowOff>135047</xdr:rowOff>
    </xdr:from>
    <xdr:to>
      <xdr:col>14</xdr:col>
      <xdr:colOff>773429</xdr:colOff>
      <xdr:row>7</xdr:row>
      <xdr:rowOff>145588</xdr:rowOff>
    </xdr:to>
    <xdr:sp macro="" textlink="">
      <xdr:nvSpPr>
        <xdr:cNvPr id="81" name="11 Rectángulo">
          <a:extLst>
            <a:ext uri="{FF2B5EF4-FFF2-40B4-BE49-F238E27FC236}">
              <a16:creationId xmlns:a16="http://schemas.microsoft.com/office/drawing/2014/main" id="{00000000-0008-0000-0800-000051000000}"/>
            </a:ext>
          </a:extLst>
        </xdr:cNvPr>
        <xdr:cNvSpPr/>
      </xdr:nvSpPr>
      <xdr:spPr>
        <a:xfrm>
          <a:off x="918210" y="1611422"/>
          <a:ext cx="11742419"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6. Anterrelación de objetivos</a:t>
          </a:r>
        </a:p>
      </xdr:txBody>
    </xdr:sp>
    <xdr:clientData/>
  </xdr:twoCellAnchor>
  <xdr:twoCellAnchor>
    <xdr:from>
      <xdr:col>5</xdr:col>
      <xdr:colOff>485775</xdr:colOff>
      <xdr:row>10</xdr:row>
      <xdr:rowOff>409654</xdr:rowOff>
    </xdr:from>
    <xdr:to>
      <xdr:col>6</xdr:col>
      <xdr:colOff>208407</xdr:colOff>
      <xdr:row>12</xdr:row>
      <xdr:rowOff>66754</xdr:rowOff>
    </xdr:to>
    <xdr:sp macro="" textlink="">
      <xdr:nvSpPr>
        <xdr:cNvPr id="82" name="Flecha abajo 3">
          <a:extLst>
            <a:ext uri="{FF2B5EF4-FFF2-40B4-BE49-F238E27FC236}">
              <a16:creationId xmlns:a16="http://schemas.microsoft.com/office/drawing/2014/main" id="{00000000-0008-0000-0800-000052000000}"/>
            </a:ext>
          </a:extLst>
        </xdr:cNvPr>
        <xdr:cNvSpPr/>
      </xdr:nvSpPr>
      <xdr:spPr>
        <a:xfrm>
          <a:off x="4867275" y="3276679"/>
          <a:ext cx="598933" cy="504826"/>
        </a:xfrm>
        <a:custGeom>
          <a:avLst/>
          <a:gdLst/>
          <a:ahLst/>
          <a:cxnLst>
            <a:cxn ang="0">
              <a:pos x="wd2" y="hd2"/>
            </a:cxn>
            <a:cxn ang="5400000">
              <a:pos x="wd2" y="hd2"/>
            </a:cxn>
            <a:cxn ang="10800000">
              <a:pos x="wd2" y="hd2"/>
            </a:cxn>
            <a:cxn ang="16200000">
              <a:pos x="wd2" y="hd2"/>
            </a:cxn>
          </a:cxnLst>
          <a:rect l="0" t="0" r="r" b="b"/>
          <a:pathLst>
            <a:path w="21600" h="21600" extrusionOk="0">
              <a:moveTo>
                <a:pt x="0" y="10800"/>
              </a:moveTo>
              <a:lnTo>
                <a:pt x="5400" y="10800"/>
              </a:lnTo>
              <a:lnTo>
                <a:pt x="5400" y="0"/>
              </a:lnTo>
              <a:lnTo>
                <a:pt x="16200" y="0"/>
              </a:lnTo>
              <a:lnTo>
                <a:pt x="16200" y="10800"/>
              </a:lnTo>
              <a:lnTo>
                <a:pt x="21600" y="10800"/>
              </a:lnTo>
              <a:lnTo>
                <a:pt x="10800" y="21600"/>
              </a:lnTo>
              <a:close/>
            </a:path>
          </a:pathLst>
        </a:custGeom>
        <a:solidFill>
          <a:srgbClr val="FF6600"/>
        </a:solidFill>
        <a:ln w="12700" cap="flat">
          <a:solidFill>
            <a:srgbClr val="42719B"/>
          </a:solidFill>
          <a:prstDash val="solid"/>
          <a:miter lim="800000"/>
        </a:ln>
        <a:effectLst/>
      </xdr:spPr>
      <xdr:txBody>
        <a:bodyPr/>
        <a:lstStyle/>
        <a:p>
          <a:endParaRPr/>
        </a:p>
      </xdr:txBody>
    </xdr:sp>
    <xdr:clientData/>
  </xdr:twoCellAnchor>
  <xdr:twoCellAnchor>
    <xdr:from>
      <xdr:col>4</xdr:col>
      <xdr:colOff>30022</xdr:colOff>
      <xdr:row>9</xdr:row>
      <xdr:rowOff>140357</xdr:rowOff>
    </xdr:from>
    <xdr:to>
      <xdr:col>11</xdr:col>
      <xdr:colOff>389073</xdr:colOff>
      <xdr:row>19</xdr:row>
      <xdr:rowOff>640851</xdr:rowOff>
    </xdr:to>
    <xdr:grpSp>
      <xdr:nvGrpSpPr>
        <xdr:cNvPr id="92" name="Diagrama 13">
          <a:extLst>
            <a:ext uri="{FF2B5EF4-FFF2-40B4-BE49-F238E27FC236}">
              <a16:creationId xmlns:a16="http://schemas.microsoft.com/office/drawing/2014/main" id="{00000000-0008-0000-0800-00005C000000}"/>
            </a:ext>
          </a:extLst>
        </xdr:cNvPr>
        <xdr:cNvGrpSpPr/>
      </xdr:nvGrpSpPr>
      <xdr:grpSpPr>
        <a:xfrm>
          <a:off x="3230422" y="2693057"/>
          <a:ext cx="5959751" cy="3694544"/>
          <a:chOff x="0" y="0"/>
          <a:chExt cx="6493151" cy="3700893"/>
        </a:xfrm>
      </xdr:grpSpPr>
      <xdr:sp macro="" textlink="">
        <xdr:nvSpPr>
          <xdr:cNvPr id="83" name="Figura">
            <a:extLst>
              <a:ext uri="{FF2B5EF4-FFF2-40B4-BE49-F238E27FC236}">
                <a16:creationId xmlns:a16="http://schemas.microsoft.com/office/drawing/2014/main" id="{00000000-0008-0000-0800-000053000000}"/>
              </a:ext>
            </a:extLst>
          </xdr:cNvPr>
          <xdr:cNvSpPr/>
        </xdr:nvSpPr>
        <xdr:spPr>
          <a:xfrm>
            <a:off x="70291" y="0"/>
            <a:ext cx="781767" cy="3700894"/>
          </a:xfrm>
          <a:custGeom>
            <a:avLst/>
            <a:gdLst/>
            <a:ahLst/>
            <a:cxnLst>
              <a:cxn ang="0">
                <a:pos x="wd2" y="hd2"/>
              </a:cxn>
              <a:cxn ang="5400000">
                <a:pos x="wd2" y="hd2"/>
              </a:cxn>
              <a:cxn ang="10800000">
                <a:pos x="wd2" y="hd2"/>
              </a:cxn>
              <a:cxn ang="16200000">
                <a:pos x="wd2" y="hd2"/>
              </a:cxn>
            </a:cxnLst>
            <a:rect l="0" t="0" r="r" b="b"/>
            <a:pathLst>
              <a:path w="16280" h="21600" extrusionOk="0">
                <a:moveTo>
                  <a:pt x="318" y="0"/>
                </a:moveTo>
                <a:cubicBezTo>
                  <a:pt x="21600" y="5965"/>
                  <a:pt x="21600" y="15635"/>
                  <a:pt x="318" y="21600"/>
                </a:cubicBezTo>
                <a:lnTo>
                  <a:pt x="0" y="21511"/>
                </a:lnTo>
                <a:cubicBezTo>
                  <a:pt x="21106" y="15595"/>
                  <a:pt x="21106" y="6005"/>
                  <a:pt x="0" y="89"/>
                </a:cubicBezTo>
                <a:close/>
              </a:path>
            </a:pathLst>
          </a:custGeom>
          <a:noFill/>
          <a:ln w="12700" cap="flat">
            <a:solidFill>
              <a:srgbClr val="487BA9"/>
            </a:solidFill>
            <a:prstDash val="solid"/>
            <a:miter lim="800000"/>
          </a:ln>
          <a:effectLst/>
        </xdr:spPr>
        <xdr:txBody>
          <a:bodyPr/>
          <a:lstStyle/>
          <a:p>
            <a:endParaRPr/>
          </a:p>
        </xdr:txBody>
      </xdr:sp>
      <xdr:grpSp>
        <xdr:nvGrpSpPr>
          <xdr:cNvPr id="86" name="Agrupar">
            <a:extLst>
              <a:ext uri="{FF2B5EF4-FFF2-40B4-BE49-F238E27FC236}">
                <a16:creationId xmlns:a16="http://schemas.microsoft.com/office/drawing/2014/main" id="{00000000-0008-0000-0800-000056000000}"/>
              </a:ext>
            </a:extLst>
          </xdr:cNvPr>
          <xdr:cNvGrpSpPr/>
        </xdr:nvGrpSpPr>
        <xdr:grpSpPr>
          <a:xfrm>
            <a:off x="693880" y="399841"/>
            <a:ext cx="5799272" cy="1235584"/>
            <a:chOff x="0" y="-62687"/>
            <a:chExt cx="5799270" cy="1235583"/>
          </a:xfrm>
        </xdr:grpSpPr>
        <xdr:sp macro="" textlink="">
          <xdr:nvSpPr>
            <xdr:cNvPr id="84" name="Rectángulo">
              <a:extLst>
                <a:ext uri="{FF2B5EF4-FFF2-40B4-BE49-F238E27FC236}">
                  <a16:creationId xmlns:a16="http://schemas.microsoft.com/office/drawing/2014/main" id="{00000000-0008-0000-0800-000054000000}"/>
                </a:ext>
              </a:extLst>
            </xdr:cNvPr>
            <xdr:cNvSpPr/>
          </xdr:nvSpPr>
          <xdr:spPr>
            <a:xfrm>
              <a:off x="-1" y="0"/>
              <a:ext cx="5780222" cy="1110209"/>
            </a:xfrm>
            <a:prstGeom prst="rect">
              <a:avLst/>
            </a:prstGeom>
            <a:solidFill>
              <a:srgbClr val="153553"/>
            </a:solidFill>
            <a:ln w="12700" cap="flat">
              <a:solidFill>
                <a:srgbClr val="FFFFFF"/>
              </a:solidFill>
              <a:prstDash val="solid"/>
              <a:miter lim="800000"/>
            </a:ln>
            <a:effectLst/>
          </xdr:spPr>
          <xdr:txBody>
            <a:bodyPr/>
            <a:lstStyle/>
            <a:p>
              <a:endParaRPr/>
            </a:p>
          </xdr:txBody>
        </xdr:sp>
        <xdr:sp macro="" textlink="">
          <xdr:nvSpPr>
            <xdr:cNvPr id="85" name="Objetivos del Sistema de Gestión de la Calidad.">
              <a:extLst>
                <a:ext uri="{FF2B5EF4-FFF2-40B4-BE49-F238E27FC236}">
                  <a16:creationId xmlns:a16="http://schemas.microsoft.com/office/drawing/2014/main" id="{00000000-0008-0000-0800-000055000000}"/>
                </a:ext>
              </a:extLst>
            </xdr:cNvPr>
            <xdr:cNvSpPr txBox="1"/>
          </xdr:nvSpPr>
          <xdr:spPr>
            <a:xfrm>
              <a:off x="783438" y="-62687"/>
              <a:ext cx="5015833" cy="1235583"/>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78739" tIns="78739" rIns="78739" bIns="78739" numCol="1" anchor="ctr">
              <a:spAutoFit/>
            </a:bodyPr>
            <a:lstStyle/>
            <a:p>
              <a:pPr marL="0" marR="0" indent="0" algn="l" defTabSz="1377950" latinLnBrk="0">
                <a:lnSpc>
                  <a:spcPct val="90000"/>
                </a:lnSpc>
                <a:spcBef>
                  <a:spcPts val="1300"/>
                </a:spcBef>
                <a:spcAft>
                  <a:spcPts val="0"/>
                </a:spcAft>
                <a:buClrTx/>
                <a:buSzTx/>
                <a:buFontTx/>
                <a:buNone/>
                <a:defRPr sz="3100" b="0" i="0" u="none" strike="noStrike" cap="none" spc="0" baseline="0">
                  <a:solidFill>
                    <a:srgbClr val="FFFFFF"/>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r>
                <a:rPr sz="3100" b="0" i="0" u="none" strike="noStrike" cap="none" spc="0" baseline="0">
                  <a:solidFill>
                    <a:srgbClr val="FFFFFF"/>
                  </a:solidFill>
                  <a:effectLst>
                    <a:outerShdw blurRad="38100" dist="19050" dir="2700000" rotWithShape="0">
                      <a:srgbClr val="000000">
                        <a:alpha val="40000"/>
                      </a:srgbClr>
                    </a:outerShdw>
                  </a:effectLst>
                  <a:uFillTx/>
                  <a:latin typeface="Century Gothic"/>
                  <a:ea typeface="Century Gothic"/>
                  <a:cs typeface="Century Gothic"/>
                  <a:sym typeface="Century Gothic"/>
                </a:rPr>
                <a:t>Objetivos del Sistema de Gestión de la Calidad. </a:t>
              </a:r>
            </a:p>
          </xdr:txBody>
        </xdr:sp>
      </xdr:grpSp>
      <xdr:sp macro="" textlink="">
        <xdr:nvSpPr>
          <xdr:cNvPr id="87" name="Círculo">
            <a:extLst>
              <a:ext uri="{FF2B5EF4-FFF2-40B4-BE49-F238E27FC236}">
                <a16:creationId xmlns:a16="http://schemas.microsoft.com/office/drawing/2014/main" id="{00000000-0008-0000-0800-000057000000}"/>
              </a:ext>
            </a:extLst>
          </xdr:cNvPr>
          <xdr:cNvSpPr/>
        </xdr:nvSpPr>
        <xdr:spPr>
          <a:xfrm>
            <a:off x="0" y="323752"/>
            <a:ext cx="1387762" cy="1387763"/>
          </a:xfrm>
          <a:prstGeom prst="ellipse">
            <a:avLst/>
          </a:prstGeom>
          <a:solidFill>
            <a:srgbClr val="FFFFFF"/>
          </a:solidFill>
          <a:ln w="12700" cap="flat">
            <a:solidFill>
              <a:schemeClr val="accent1"/>
            </a:solidFill>
            <a:prstDash val="solid"/>
            <a:miter lim="800000"/>
          </a:ln>
          <a:effectLst/>
        </xdr:spPr>
        <xdr:txBody>
          <a:bodyPr/>
          <a:lstStyle/>
          <a:p>
            <a:endParaRPr/>
          </a:p>
        </xdr:txBody>
      </xdr:sp>
      <xdr:grpSp>
        <xdr:nvGrpSpPr>
          <xdr:cNvPr id="90" name="Agrupar">
            <a:extLst>
              <a:ext uri="{FF2B5EF4-FFF2-40B4-BE49-F238E27FC236}">
                <a16:creationId xmlns:a16="http://schemas.microsoft.com/office/drawing/2014/main" id="{00000000-0008-0000-0800-00005A000000}"/>
              </a:ext>
            </a:extLst>
          </xdr:cNvPr>
          <xdr:cNvGrpSpPr/>
        </xdr:nvGrpSpPr>
        <xdr:grpSpPr>
          <a:xfrm>
            <a:off x="693880" y="2065467"/>
            <a:ext cx="5799272" cy="1235584"/>
            <a:chOff x="0" y="-62687"/>
            <a:chExt cx="5799270" cy="1235583"/>
          </a:xfrm>
        </xdr:grpSpPr>
        <xdr:sp macro="" textlink="">
          <xdr:nvSpPr>
            <xdr:cNvPr id="88" name="Rectángulo">
              <a:extLst>
                <a:ext uri="{FF2B5EF4-FFF2-40B4-BE49-F238E27FC236}">
                  <a16:creationId xmlns:a16="http://schemas.microsoft.com/office/drawing/2014/main" id="{00000000-0008-0000-0800-000058000000}"/>
                </a:ext>
              </a:extLst>
            </xdr:cNvPr>
            <xdr:cNvSpPr/>
          </xdr:nvSpPr>
          <xdr:spPr>
            <a:xfrm>
              <a:off x="-1" y="0"/>
              <a:ext cx="5780222" cy="1110209"/>
            </a:xfrm>
            <a:prstGeom prst="rect">
              <a:avLst/>
            </a:prstGeom>
            <a:solidFill>
              <a:srgbClr val="153553"/>
            </a:solidFill>
            <a:ln w="12700" cap="flat">
              <a:solidFill>
                <a:srgbClr val="153553"/>
              </a:solidFill>
              <a:prstDash val="solid"/>
              <a:miter lim="800000"/>
            </a:ln>
            <a:effectLst/>
          </xdr:spPr>
          <xdr:txBody>
            <a:bodyPr/>
            <a:lstStyle/>
            <a:p>
              <a:endParaRPr/>
            </a:p>
          </xdr:txBody>
        </xdr:sp>
        <xdr:sp macro="" textlink="">
          <xdr:nvSpPr>
            <xdr:cNvPr id="89" name="Objetivos del Sistema de Gestión SST.">
              <a:extLst>
                <a:ext uri="{FF2B5EF4-FFF2-40B4-BE49-F238E27FC236}">
                  <a16:creationId xmlns:a16="http://schemas.microsoft.com/office/drawing/2014/main" id="{00000000-0008-0000-0800-000059000000}"/>
                </a:ext>
              </a:extLst>
            </xdr:cNvPr>
            <xdr:cNvSpPr txBox="1"/>
          </xdr:nvSpPr>
          <xdr:spPr>
            <a:xfrm>
              <a:off x="783438" y="-62687"/>
              <a:ext cx="5015833" cy="1235583"/>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78739" tIns="78739" rIns="78739" bIns="78739" numCol="1" anchor="ctr">
              <a:spAutoFit/>
            </a:bodyPr>
            <a:lstStyle/>
            <a:p>
              <a:pPr marL="0" marR="0" indent="0" algn="l" defTabSz="1377950" latinLnBrk="0">
                <a:lnSpc>
                  <a:spcPct val="90000"/>
                </a:lnSpc>
                <a:spcBef>
                  <a:spcPts val="1300"/>
                </a:spcBef>
                <a:spcAft>
                  <a:spcPts val="0"/>
                </a:spcAft>
                <a:buClrTx/>
                <a:buSzTx/>
                <a:buFontTx/>
                <a:buNone/>
                <a:defRPr sz="3100" b="0" i="0" u="none" strike="noStrike" cap="none" spc="0" baseline="0">
                  <a:solidFill>
                    <a:srgbClr val="FFFFFF"/>
                  </a:solidFill>
                  <a:effectLst>
                    <a:outerShdw blurRad="38100" dist="19050" dir="2700000" rotWithShape="0">
                      <a:srgbClr val="000000">
                        <a:alpha val="40000"/>
                      </a:srgbClr>
                    </a:outerShdw>
                  </a:effectLst>
                  <a:uFillTx/>
                  <a:latin typeface="Century Gothic"/>
                  <a:ea typeface="Century Gothic"/>
                  <a:cs typeface="Century Gothic"/>
                  <a:sym typeface="Century Gothic"/>
                </a:defRPr>
              </a:pPr>
              <a:r>
                <a:rPr sz="3100" b="0" i="0" u="none" strike="noStrike" cap="none" spc="0" baseline="0">
                  <a:solidFill>
                    <a:srgbClr val="FFFFFF"/>
                  </a:solidFill>
                  <a:effectLst>
                    <a:outerShdw blurRad="38100" dist="19050" dir="2700000" rotWithShape="0">
                      <a:srgbClr val="000000">
                        <a:alpha val="40000"/>
                      </a:srgbClr>
                    </a:outerShdw>
                  </a:effectLst>
                  <a:uFillTx/>
                  <a:latin typeface="Century Gothic"/>
                  <a:ea typeface="Century Gothic"/>
                  <a:cs typeface="Century Gothic"/>
                  <a:sym typeface="Century Gothic"/>
                </a:rPr>
                <a:t>Objetivos del Sistema de Gestión SST.</a:t>
              </a:r>
            </a:p>
          </xdr:txBody>
        </xdr:sp>
      </xdr:grpSp>
      <xdr:sp macro="" textlink="">
        <xdr:nvSpPr>
          <xdr:cNvPr id="91" name="Círculo">
            <a:extLst>
              <a:ext uri="{FF2B5EF4-FFF2-40B4-BE49-F238E27FC236}">
                <a16:creationId xmlns:a16="http://schemas.microsoft.com/office/drawing/2014/main" id="{00000000-0008-0000-0800-00005B000000}"/>
              </a:ext>
            </a:extLst>
          </xdr:cNvPr>
          <xdr:cNvSpPr/>
        </xdr:nvSpPr>
        <xdr:spPr>
          <a:xfrm>
            <a:off x="0" y="1989378"/>
            <a:ext cx="1387762" cy="1387763"/>
          </a:xfrm>
          <a:prstGeom prst="ellipse">
            <a:avLst/>
          </a:prstGeom>
          <a:solidFill>
            <a:srgbClr val="FFFFFF"/>
          </a:solidFill>
          <a:ln w="12700" cap="flat">
            <a:solidFill>
              <a:schemeClr val="accent1"/>
            </a:solidFill>
            <a:prstDash val="solid"/>
            <a:miter lim="800000"/>
          </a:ln>
          <a:effectLst/>
        </xdr:spPr>
        <xdr:txBody>
          <a:bodyPr/>
          <a:lstStyle/>
          <a:p>
            <a:endParaRPr/>
          </a:p>
        </xdr:txBody>
      </xdr:sp>
    </xdr:grpSp>
    <xdr:clientData/>
  </xdr:twoCellAnchor>
  <xdr:twoCellAnchor>
    <xdr:from>
      <xdr:col>4</xdr:col>
      <xdr:colOff>474182</xdr:colOff>
      <xdr:row>12</xdr:row>
      <xdr:rowOff>64849</xdr:rowOff>
    </xdr:from>
    <xdr:to>
      <xdr:col>5</xdr:col>
      <xdr:colOff>472439</xdr:colOff>
      <xdr:row>16</xdr:row>
      <xdr:rowOff>505537</xdr:rowOff>
    </xdr:to>
    <xdr:grpSp>
      <xdr:nvGrpSpPr>
        <xdr:cNvPr id="96" name="Flecha curvada hacia la derecha 21">
          <a:extLst>
            <a:ext uri="{FF2B5EF4-FFF2-40B4-BE49-F238E27FC236}">
              <a16:creationId xmlns:a16="http://schemas.microsoft.com/office/drawing/2014/main" id="{00000000-0008-0000-0800-000060000000}"/>
            </a:ext>
          </a:extLst>
        </xdr:cNvPr>
        <xdr:cNvGrpSpPr/>
      </xdr:nvGrpSpPr>
      <xdr:grpSpPr>
        <a:xfrm>
          <a:off x="3674582" y="3766899"/>
          <a:ext cx="798357" cy="1469388"/>
          <a:chOff x="0" y="0"/>
          <a:chExt cx="874557" cy="1469388"/>
        </a:xfrm>
      </xdr:grpSpPr>
      <xdr:sp macro="" textlink="">
        <xdr:nvSpPr>
          <xdr:cNvPr id="93" name="Figura">
            <a:extLst>
              <a:ext uri="{FF2B5EF4-FFF2-40B4-BE49-F238E27FC236}">
                <a16:creationId xmlns:a16="http://schemas.microsoft.com/office/drawing/2014/main" id="{00000000-0008-0000-0800-00005D000000}"/>
              </a:ext>
            </a:extLst>
          </xdr:cNvPr>
          <xdr:cNvSpPr/>
        </xdr:nvSpPr>
        <xdr:spPr>
          <a:xfrm>
            <a:off x="0" y="0"/>
            <a:ext cx="874558" cy="1469389"/>
          </a:xfrm>
          <a:custGeom>
            <a:avLst/>
            <a:gdLst/>
            <a:ahLst/>
            <a:cxnLst>
              <a:cxn ang="0">
                <a:pos x="wd2" y="hd2"/>
              </a:cxn>
              <a:cxn ang="5400000">
                <a:pos x="wd2" y="hd2"/>
              </a:cxn>
              <a:cxn ang="10800000">
                <a:pos x="wd2" y="hd2"/>
              </a:cxn>
              <a:cxn ang="16200000">
                <a:pos x="wd2" y="hd2"/>
              </a:cxn>
            </a:cxnLst>
            <a:rect l="0" t="0" r="r" b="b"/>
            <a:pathLst>
              <a:path w="19890" h="21600" extrusionOk="0">
                <a:moveTo>
                  <a:pt x="4" y="8525"/>
                </a:moveTo>
                <a:cubicBezTo>
                  <a:pt x="4" y="12413"/>
                  <a:pt x="6138" y="15808"/>
                  <a:pt x="14918" y="16780"/>
                </a:cubicBezTo>
                <a:lnTo>
                  <a:pt x="14918" y="15173"/>
                </a:lnTo>
                <a:lnTo>
                  <a:pt x="19890" y="18657"/>
                </a:lnTo>
                <a:lnTo>
                  <a:pt x="14918" y="21600"/>
                </a:lnTo>
                <a:lnTo>
                  <a:pt x="14918" y="19993"/>
                </a:lnTo>
                <a:lnTo>
                  <a:pt x="14918" y="19993"/>
                </a:lnTo>
                <a:cubicBezTo>
                  <a:pt x="6138" y="19021"/>
                  <a:pt x="4" y="15626"/>
                  <a:pt x="4" y="11739"/>
                </a:cubicBezTo>
                <a:close/>
                <a:moveTo>
                  <a:pt x="19890" y="3213"/>
                </a:moveTo>
                <a:cubicBezTo>
                  <a:pt x="10352" y="3213"/>
                  <a:pt x="2157" y="6116"/>
                  <a:pt x="360" y="10132"/>
                </a:cubicBezTo>
                <a:lnTo>
                  <a:pt x="360" y="10132"/>
                </a:lnTo>
                <a:cubicBezTo>
                  <a:pt x="-1710" y="5508"/>
                  <a:pt x="5356" y="1040"/>
                  <a:pt x="16142" y="153"/>
                </a:cubicBezTo>
                <a:cubicBezTo>
                  <a:pt x="17377" y="51"/>
                  <a:pt x="18632" y="0"/>
                  <a:pt x="19890" y="0"/>
                </a:cubicBezTo>
                <a:close/>
              </a:path>
            </a:pathLst>
          </a:custGeom>
          <a:solidFill>
            <a:srgbClr val="153553"/>
          </a:solidFill>
          <a:ln w="12700" cap="flat">
            <a:noFill/>
            <a:miter lim="400000"/>
          </a:ln>
          <a:effectLst/>
        </xdr:spPr>
        <xdr:txBody>
          <a:bodyPr/>
          <a:lstStyle/>
          <a:p>
            <a:endParaRPr/>
          </a:p>
        </xdr:txBody>
      </xdr:sp>
      <xdr:sp macro="" textlink="">
        <xdr:nvSpPr>
          <xdr:cNvPr id="94" name="Figura">
            <a:extLst>
              <a:ext uri="{FF2B5EF4-FFF2-40B4-BE49-F238E27FC236}">
                <a16:creationId xmlns:a16="http://schemas.microsoft.com/office/drawing/2014/main" id="{00000000-0008-0000-0800-00005E000000}"/>
              </a:ext>
            </a:extLst>
          </xdr:cNvPr>
          <xdr:cNvSpPr/>
        </xdr:nvSpPr>
        <xdr:spPr>
          <a:xfrm>
            <a:off x="0" y="0"/>
            <a:ext cx="874558" cy="689253"/>
          </a:xfrm>
          <a:custGeom>
            <a:avLst/>
            <a:gdLst/>
            <a:ahLst/>
            <a:cxnLst>
              <a:cxn ang="0">
                <a:pos x="wd2" y="hd2"/>
              </a:cxn>
              <a:cxn ang="5400000">
                <a:pos x="wd2" y="hd2"/>
              </a:cxn>
              <a:cxn ang="10800000">
                <a:pos x="wd2" y="hd2"/>
              </a:cxn>
              <a:cxn ang="16200000">
                <a:pos x="wd2" y="hd2"/>
              </a:cxn>
            </a:cxnLst>
            <a:rect l="0" t="0" r="r" b="b"/>
            <a:pathLst>
              <a:path w="19890" h="21600" extrusionOk="0">
                <a:moveTo>
                  <a:pt x="19890" y="6851"/>
                </a:moveTo>
                <a:cubicBezTo>
                  <a:pt x="10352" y="6851"/>
                  <a:pt x="2157" y="13039"/>
                  <a:pt x="360" y="21600"/>
                </a:cubicBezTo>
                <a:lnTo>
                  <a:pt x="360" y="21600"/>
                </a:lnTo>
                <a:cubicBezTo>
                  <a:pt x="-1710" y="11742"/>
                  <a:pt x="5356" y="2217"/>
                  <a:pt x="16142" y="326"/>
                </a:cubicBezTo>
                <a:cubicBezTo>
                  <a:pt x="17377" y="109"/>
                  <a:pt x="18632" y="0"/>
                  <a:pt x="19890" y="0"/>
                </a:cubicBezTo>
                <a:close/>
              </a:path>
            </a:pathLst>
          </a:custGeom>
          <a:solidFill>
            <a:srgbClr val="000000">
              <a:alpha val="20000"/>
            </a:srgbClr>
          </a:solidFill>
          <a:ln w="12700" cap="flat">
            <a:noFill/>
            <a:miter lim="400000"/>
          </a:ln>
          <a:effectLst/>
        </xdr:spPr>
        <xdr:txBody>
          <a:bodyPr/>
          <a:lstStyle/>
          <a:p>
            <a:endParaRPr/>
          </a:p>
        </xdr:txBody>
      </xdr:sp>
      <xdr:sp macro="" textlink="">
        <xdr:nvSpPr>
          <xdr:cNvPr id="95" name="Línea">
            <a:extLst>
              <a:ext uri="{FF2B5EF4-FFF2-40B4-BE49-F238E27FC236}">
                <a16:creationId xmlns:a16="http://schemas.microsoft.com/office/drawing/2014/main" id="{00000000-0008-0000-0800-00005F000000}"/>
              </a:ext>
            </a:extLst>
          </xdr:cNvPr>
          <xdr:cNvSpPr/>
        </xdr:nvSpPr>
        <xdr:spPr>
          <a:xfrm>
            <a:off x="161" y="0"/>
            <a:ext cx="874397" cy="1469389"/>
          </a:xfrm>
          <a:custGeom>
            <a:avLst/>
            <a:gdLst/>
            <a:ahLst/>
            <a:cxnLst>
              <a:cxn ang="0">
                <a:pos x="wd2" y="hd2"/>
              </a:cxn>
              <a:cxn ang="5400000">
                <a:pos x="wd2" y="hd2"/>
              </a:cxn>
              <a:cxn ang="10800000">
                <a:pos x="wd2" y="hd2"/>
              </a:cxn>
              <a:cxn ang="16200000">
                <a:pos x="wd2" y="hd2"/>
              </a:cxn>
            </a:cxnLst>
            <a:rect l="0" t="0" r="r" b="b"/>
            <a:pathLst>
              <a:path w="21600" h="21600" extrusionOk="0">
                <a:moveTo>
                  <a:pt x="0" y="8525"/>
                </a:moveTo>
                <a:cubicBezTo>
                  <a:pt x="0" y="12413"/>
                  <a:pt x="6663" y="15808"/>
                  <a:pt x="16200" y="16780"/>
                </a:cubicBezTo>
                <a:lnTo>
                  <a:pt x="16200" y="15173"/>
                </a:lnTo>
                <a:lnTo>
                  <a:pt x="21600" y="18657"/>
                </a:lnTo>
                <a:lnTo>
                  <a:pt x="16200" y="21600"/>
                </a:lnTo>
                <a:lnTo>
                  <a:pt x="16200" y="19993"/>
                </a:lnTo>
                <a:lnTo>
                  <a:pt x="16200" y="19993"/>
                </a:lnTo>
                <a:cubicBezTo>
                  <a:pt x="6663" y="19021"/>
                  <a:pt x="0" y="15626"/>
                  <a:pt x="0" y="11739"/>
                </a:cubicBezTo>
                <a:lnTo>
                  <a:pt x="0" y="8525"/>
                </a:lnTo>
                <a:cubicBezTo>
                  <a:pt x="0" y="3817"/>
                  <a:pt x="9671" y="0"/>
                  <a:pt x="21600" y="0"/>
                </a:cubicBezTo>
                <a:lnTo>
                  <a:pt x="21600" y="3213"/>
                </a:lnTo>
                <a:cubicBezTo>
                  <a:pt x="11240" y="3213"/>
                  <a:pt x="2339" y="6116"/>
                  <a:pt x="387" y="10132"/>
                </a:cubicBezTo>
              </a:path>
            </a:pathLst>
          </a:custGeom>
          <a:noFill/>
          <a:ln w="12700" cap="flat">
            <a:solidFill>
              <a:srgbClr val="42719B"/>
            </a:solidFill>
            <a:prstDash val="solid"/>
            <a:miter lim="800000"/>
          </a:ln>
          <a:effectLst/>
        </xdr:spPr>
        <xdr:txBody>
          <a:bodyPr/>
          <a:lstStyle/>
          <a:p>
            <a:endParaRPr/>
          </a:p>
        </xdr:txBody>
      </xdr:sp>
    </xdr:grpSp>
    <xdr:clientData/>
  </xdr:twoCellAnchor>
  <xdr:twoCellAnchor>
    <xdr:from>
      <xdr:col>1</xdr:col>
      <xdr:colOff>102871</xdr:colOff>
      <xdr:row>13</xdr:row>
      <xdr:rowOff>129619</xdr:rowOff>
    </xdr:from>
    <xdr:to>
      <xdr:col>3</xdr:col>
      <xdr:colOff>464821</xdr:colOff>
      <xdr:row>16</xdr:row>
      <xdr:rowOff>474423</xdr:rowOff>
    </xdr:to>
    <xdr:grpSp>
      <xdr:nvGrpSpPr>
        <xdr:cNvPr id="99" name="Flecha derecha 25">
          <a:extLst>
            <a:ext uri="{FF2B5EF4-FFF2-40B4-BE49-F238E27FC236}">
              <a16:creationId xmlns:a16="http://schemas.microsoft.com/office/drawing/2014/main" id="{00000000-0008-0000-0800-000063000000}"/>
            </a:ext>
          </a:extLst>
        </xdr:cNvPr>
        <xdr:cNvGrpSpPr/>
      </xdr:nvGrpSpPr>
      <xdr:grpSpPr>
        <a:xfrm>
          <a:off x="902971" y="4022169"/>
          <a:ext cx="1962150" cy="1183004"/>
          <a:chOff x="0" y="0"/>
          <a:chExt cx="2114550" cy="1183003"/>
        </a:xfrm>
      </xdr:grpSpPr>
      <xdr:sp macro="" textlink="">
        <xdr:nvSpPr>
          <xdr:cNvPr id="97" name="Flecha">
            <a:extLst>
              <a:ext uri="{FF2B5EF4-FFF2-40B4-BE49-F238E27FC236}">
                <a16:creationId xmlns:a16="http://schemas.microsoft.com/office/drawing/2014/main" id="{00000000-0008-0000-0800-000061000000}"/>
              </a:ext>
            </a:extLst>
          </xdr:cNvPr>
          <xdr:cNvSpPr/>
        </xdr:nvSpPr>
        <xdr:spPr>
          <a:xfrm>
            <a:off x="0" y="0"/>
            <a:ext cx="2114550" cy="1183004"/>
          </a:xfrm>
          <a:prstGeom prst="rightArrow">
            <a:avLst>
              <a:gd name="adj1" fmla="val 75000"/>
              <a:gd name="adj2" fmla="val 50000"/>
            </a:avLst>
          </a:prstGeom>
          <a:solidFill>
            <a:srgbClr val="153553"/>
          </a:solidFill>
          <a:ln w="38100" cap="flat">
            <a:solidFill>
              <a:srgbClr val="00518E"/>
            </a:solidFill>
            <a:prstDash val="solid"/>
            <a:miter lim="800000"/>
          </a:ln>
          <a:effectLst/>
        </xdr:spPr>
        <xdr:txBody>
          <a:bodyPr/>
          <a:lstStyle/>
          <a:p>
            <a:endParaRPr/>
          </a:p>
        </xdr:txBody>
      </xdr:sp>
      <xdr:sp macro="" textlink="">
        <xdr:nvSpPr>
          <xdr:cNvPr id="98" name="Objetivos estratégicos">
            <a:extLst>
              <a:ext uri="{FF2B5EF4-FFF2-40B4-BE49-F238E27FC236}">
                <a16:creationId xmlns:a16="http://schemas.microsoft.com/office/drawing/2014/main" id="{00000000-0008-0000-0800-000062000000}"/>
              </a:ext>
            </a:extLst>
          </xdr:cNvPr>
          <xdr:cNvSpPr txBox="1"/>
        </xdr:nvSpPr>
        <xdr:spPr>
          <a:xfrm>
            <a:off x="45720" y="246823"/>
            <a:ext cx="1579484" cy="689357"/>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ctr">
            <a:spAutoFit/>
          </a:bodyPr>
          <a:lstStyle/>
          <a:p>
            <a:pPr marL="0" marR="0" indent="0" algn="ctr" defTabSz="914400" latinLnBrk="0">
              <a:lnSpc>
                <a:spcPct val="100000"/>
              </a:lnSpc>
              <a:spcBef>
                <a:spcPts val="0"/>
              </a:spcBef>
              <a:spcAft>
                <a:spcPts val="0"/>
              </a:spcAft>
              <a:buClrTx/>
              <a:buSzTx/>
              <a:buFontTx/>
              <a:buNone/>
              <a:defRPr sz="1600" b="1" i="0" u="none" strike="noStrike" cap="none" spc="0" baseline="0">
                <a:solidFill>
                  <a:srgbClr val="FFFFFF"/>
                </a:solidFill>
                <a:uFillTx/>
                <a:latin typeface="Century Gothic"/>
                <a:ea typeface="Century Gothic"/>
                <a:cs typeface="Century Gothic"/>
                <a:sym typeface="Century Gothic"/>
              </a:defRPr>
            </a:pPr>
            <a:r>
              <a:rPr sz="1600" b="1" i="0" u="none" strike="noStrike" cap="none" spc="0" baseline="0">
                <a:solidFill>
                  <a:srgbClr val="FFFFFF"/>
                </a:solidFill>
                <a:uFillTx/>
                <a:latin typeface="Century Gothic"/>
                <a:ea typeface="Century Gothic"/>
                <a:cs typeface="Century Gothic"/>
                <a:sym typeface="Century Gothic"/>
              </a:rPr>
              <a:t>Objetivos estratégicos</a:t>
            </a:r>
          </a:p>
        </xdr:txBody>
      </xdr:sp>
    </xdr:grpSp>
    <xdr:clientData/>
  </xdr:twoCellAnchor>
  <xdr:twoCellAnchor>
    <xdr:from>
      <xdr:col>0</xdr:col>
      <xdr:colOff>309880</xdr:colOff>
      <xdr:row>0</xdr:row>
      <xdr:rowOff>25400</xdr:rowOff>
    </xdr:from>
    <xdr:to>
      <xdr:col>2</xdr:col>
      <xdr:colOff>433723</xdr:colOff>
      <xdr:row>2</xdr:row>
      <xdr:rowOff>530225</xdr:rowOff>
    </xdr:to>
    <xdr:pic>
      <xdr:nvPicPr>
        <xdr:cNvPr id="100" name="Logo Emelce.png" descr="Logo Emelce.png">
          <a:extLst>
            <a:ext uri="{FF2B5EF4-FFF2-40B4-BE49-F238E27FC236}">
              <a16:creationId xmlns:a16="http://schemas.microsoft.com/office/drawing/2014/main" id="{00000000-0008-0000-0800-000064000000}"/>
            </a:ext>
          </a:extLst>
        </xdr:cNvPr>
        <xdr:cNvPicPr>
          <a:picLocks noChangeAspect="1"/>
        </xdr:cNvPicPr>
      </xdr:nvPicPr>
      <xdr:blipFill>
        <a:blip xmlns:r="http://schemas.openxmlformats.org/officeDocument/2006/relationships" r:embed="rId1"/>
        <a:srcRect/>
        <a:stretch>
          <a:fillRect/>
        </a:stretch>
      </xdr:blipFill>
      <xdr:spPr>
        <a:xfrm>
          <a:off x="309879" y="25400"/>
          <a:ext cx="1876445" cy="1009650"/>
        </a:xfrm>
        <a:prstGeom prst="rect">
          <a:avLst/>
        </a:prstGeom>
        <a:ln w="12700" cap="flat">
          <a:noFill/>
          <a:miter lim="400000"/>
        </a:ln>
        <a:effec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xdr:colOff>
      <xdr:row>5</xdr:row>
      <xdr:rowOff>139351</xdr:rowOff>
    </xdr:from>
    <xdr:to>
      <xdr:col>6</xdr:col>
      <xdr:colOff>1409701</xdr:colOff>
      <xdr:row>8</xdr:row>
      <xdr:rowOff>125127</xdr:rowOff>
    </xdr:to>
    <xdr:grpSp>
      <xdr:nvGrpSpPr>
        <xdr:cNvPr id="104" name="11 Rectángulo">
          <a:extLst>
            <a:ext uri="{FF2B5EF4-FFF2-40B4-BE49-F238E27FC236}">
              <a16:creationId xmlns:a16="http://schemas.microsoft.com/office/drawing/2014/main" id="{00000000-0008-0000-0900-000068000000}"/>
            </a:ext>
          </a:extLst>
        </xdr:cNvPr>
        <xdr:cNvGrpSpPr/>
      </xdr:nvGrpSpPr>
      <xdr:grpSpPr>
        <a:xfrm>
          <a:off x="1" y="1028351"/>
          <a:ext cx="16548100" cy="519176"/>
          <a:chOff x="0" y="-15430"/>
          <a:chExt cx="17907000" cy="528701"/>
        </a:xfrm>
      </xdr:grpSpPr>
      <xdr:sp macro="" textlink="">
        <xdr:nvSpPr>
          <xdr:cNvPr id="102" name="Rectángulo">
            <a:extLst>
              <a:ext uri="{FF2B5EF4-FFF2-40B4-BE49-F238E27FC236}">
                <a16:creationId xmlns:a16="http://schemas.microsoft.com/office/drawing/2014/main" id="{00000000-0008-0000-0900-000066000000}"/>
              </a:ext>
            </a:extLst>
          </xdr:cNvPr>
          <xdr:cNvSpPr/>
        </xdr:nvSpPr>
        <xdr:spPr>
          <a:xfrm>
            <a:off x="0" y="-1"/>
            <a:ext cx="17907000" cy="492920"/>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xdr:spPr>
        <xdr:txBody>
          <a:bodyPr/>
          <a:lstStyle/>
          <a:p>
            <a:endParaRPr/>
          </a:p>
        </xdr:txBody>
      </xdr:sp>
      <xdr:sp macro="" textlink="">
        <xdr:nvSpPr>
          <xdr:cNvPr id="103" name="7. Objetivos y metas.">
            <a:extLst>
              <a:ext uri="{FF2B5EF4-FFF2-40B4-BE49-F238E27FC236}">
                <a16:creationId xmlns:a16="http://schemas.microsoft.com/office/drawing/2014/main" id="{00000000-0008-0000-0900-000067000000}"/>
              </a:ext>
            </a:extLst>
          </xdr:cNvPr>
          <xdr:cNvSpPr txBox="1"/>
        </xdr:nvSpPr>
        <xdr:spPr>
          <a:xfrm>
            <a:off x="45719" y="-15431"/>
            <a:ext cx="17815562" cy="528702"/>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7. Objetivos y metas.</a:t>
            </a:r>
          </a:p>
        </xdr:txBody>
      </xdr:sp>
    </xdr:grpSp>
    <xdr:clientData/>
  </xdr:twoCellAnchor>
  <xdr:twoCellAnchor>
    <xdr:from>
      <xdr:col>0</xdr:col>
      <xdr:colOff>1</xdr:colOff>
      <xdr:row>0</xdr:row>
      <xdr:rowOff>0</xdr:rowOff>
    </xdr:from>
    <xdr:to>
      <xdr:col>7</xdr:col>
      <xdr:colOff>174626</xdr:colOff>
      <xdr:row>5</xdr:row>
      <xdr:rowOff>155717</xdr:rowOff>
    </xdr:to>
    <xdr:pic>
      <xdr:nvPicPr>
        <xdr:cNvPr id="105" name="Imagen 4" descr="Imagen 4">
          <a:extLst>
            <a:ext uri="{FF2B5EF4-FFF2-40B4-BE49-F238E27FC236}">
              <a16:creationId xmlns:a16="http://schemas.microsoft.com/office/drawing/2014/main" id="{00000000-0008-0000-0900-000069000000}"/>
            </a:ext>
          </a:extLst>
        </xdr:cNvPr>
        <xdr:cNvPicPr>
          <a:picLocks noChangeAspect="1"/>
        </xdr:cNvPicPr>
      </xdr:nvPicPr>
      <xdr:blipFill>
        <a:blip xmlns:r="http://schemas.openxmlformats.org/officeDocument/2006/relationships" r:embed="rId1"/>
        <a:srcRect/>
        <a:stretch>
          <a:fillRect/>
        </a:stretch>
      </xdr:blipFill>
      <xdr:spPr>
        <a:xfrm>
          <a:off x="1" y="0"/>
          <a:ext cx="18246726" cy="1060593"/>
        </a:xfrm>
        <a:prstGeom prst="rect">
          <a:avLst/>
        </a:prstGeom>
        <a:ln w="12700" cap="flat">
          <a:noFill/>
          <a:miter lim="400000"/>
        </a:ln>
        <a:effec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5</xdr:row>
      <xdr:rowOff>139351</xdr:rowOff>
    </xdr:from>
    <xdr:to>
      <xdr:col>10</xdr:col>
      <xdr:colOff>12700</xdr:colOff>
      <xdr:row>8</xdr:row>
      <xdr:rowOff>125127</xdr:rowOff>
    </xdr:to>
    <xdr:grpSp>
      <xdr:nvGrpSpPr>
        <xdr:cNvPr id="109" name="11 Rectángulo">
          <a:extLst>
            <a:ext uri="{FF2B5EF4-FFF2-40B4-BE49-F238E27FC236}">
              <a16:creationId xmlns:a16="http://schemas.microsoft.com/office/drawing/2014/main" id="{00000000-0008-0000-0A00-00006D000000}"/>
            </a:ext>
          </a:extLst>
        </xdr:cNvPr>
        <xdr:cNvGrpSpPr/>
      </xdr:nvGrpSpPr>
      <xdr:grpSpPr>
        <a:xfrm>
          <a:off x="0" y="1038934"/>
          <a:ext cx="20195117" cy="525526"/>
          <a:chOff x="0" y="-15430"/>
          <a:chExt cx="22059900" cy="528701"/>
        </a:xfrm>
      </xdr:grpSpPr>
      <xdr:sp macro="" textlink="">
        <xdr:nvSpPr>
          <xdr:cNvPr id="107" name="Rectángulo">
            <a:extLst>
              <a:ext uri="{FF2B5EF4-FFF2-40B4-BE49-F238E27FC236}">
                <a16:creationId xmlns:a16="http://schemas.microsoft.com/office/drawing/2014/main" id="{00000000-0008-0000-0A00-00006B000000}"/>
              </a:ext>
            </a:extLst>
          </xdr:cNvPr>
          <xdr:cNvSpPr/>
        </xdr:nvSpPr>
        <xdr:spPr>
          <a:xfrm>
            <a:off x="0" y="-1"/>
            <a:ext cx="22059900" cy="492920"/>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xdr:spPr>
        <xdr:txBody>
          <a:bodyPr/>
          <a:lstStyle/>
          <a:p>
            <a:endParaRPr/>
          </a:p>
        </xdr:txBody>
      </xdr:sp>
      <xdr:sp macro="" textlink="">
        <xdr:nvSpPr>
          <xdr:cNvPr id="108" name="8. Lineamiento de indicadores para alcanzar los objetivos">
            <a:extLst>
              <a:ext uri="{FF2B5EF4-FFF2-40B4-BE49-F238E27FC236}">
                <a16:creationId xmlns:a16="http://schemas.microsoft.com/office/drawing/2014/main" id="{00000000-0008-0000-0A00-00006C000000}"/>
              </a:ext>
            </a:extLst>
          </xdr:cNvPr>
          <xdr:cNvSpPr txBox="1"/>
        </xdr:nvSpPr>
        <xdr:spPr>
          <a:xfrm>
            <a:off x="45719" y="-15431"/>
            <a:ext cx="21968462" cy="528702"/>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8. Lineamiento de indicadores para alcanzar los objetivos</a:t>
            </a:r>
          </a:p>
        </xdr:txBody>
      </xdr:sp>
    </xdr:grpSp>
    <xdr:clientData/>
  </xdr:twoCellAnchor>
  <xdr:twoCellAnchor>
    <xdr:from>
      <xdr:col>0</xdr:col>
      <xdr:colOff>0</xdr:colOff>
      <xdr:row>0</xdr:row>
      <xdr:rowOff>0</xdr:rowOff>
    </xdr:from>
    <xdr:to>
      <xdr:col>9</xdr:col>
      <xdr:colOff>1816100</xdr:colOff>
      <xdr:row>5</xdr:row>
      <xdr:rowOff>130317</xdr:rowOff>
    </xdr:to>
    <xdr:pic>
      <xdr:nvPicPr>
        <xdr:cNvPr id="110" name="Imagen 4" descr="Imagen 4">
          <a:extLst>
            <a:ext uri="{FF2B5EF4-FFF2-40B4-BE49-F238E27FC236}">
              <a16:creationId xmlns:a16="http://schemas.microsoft.com/office/drawing/2014/main" id="{00000000-0008-0000-0A00-00006E000000}"/>
            </a:ext>
          </a:extLst>
        </xdr:cNvPr>
        <xdr:cNvPicPr>
          <a:picLocks noChangeAspect="1"/>
        </xdr:cNvPicPr>
      </xdr:nvPicPr>
      <xdr:blipFill>
        <a:blip xmlns:r="http://schemas.openxmlformats.org/officeDocument/2006/relationships" r:embed="rId1"/>
        <a:stretch>
          <a:fillRect/>
        </a:stretch>
      </xdr:blipFill>
      <xdr:spPr>
        <a:xfrm>
          <a:off x="0" y="0"/>
          <a:ext cx="22009100" cy="1035193"/>
        </a:xfrm>
        <a:prstGeom prst="rect">
          <a:avLst/>
        </a:prstGeom>
        <a:ln w="12700" cap="flat">
          <a:noFill/>
          <a:miter lim="400000"/>
        </a:ln>
        <a:effec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722539</xdr:colOff>
      <xdr:row>3</xdr:row>
      <xdr:rowOff>63536</xdr:rowOff>
    </xdr:from>
    <xdr:to>
      <xdr:col>13</xdr:col>
      <xdr:colOff>719364</xdr:colOff>
      <xdr:row>4</xdr:row>
      <xdr:rowOff>37882</xdr:rowOff>
    </xdr:to>
    <xdr:sp macro="" textlink="">
      <xdr:nvSpPr>
        <xdr:cNvPr id="112" name="11 Rectángulo">
          <a:extLst>
            <a:ext uri="{FF2B5EF4-FFF2-40B4-BE49-F238E27FC236}">
              <a16:creationId xmlns:a16="http://schemas.microsoft.com/office/drawing/2014/main" id="{00000000-0008-0000-0B00-000070000000}"/>
            </a:ext>
          </a:extLst>
        </xdr:cNvPr>
        <xdr:cNvSpPr/>
      </xdr:nvSpPr>
      <xdr:spPr>
        <a:xfrm>
          <a:off x="722539" y="1859679"/>
          <a:ext cx="13313682" cy="573060"/>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9. DOFA</a:t>
          </a:r>
        </a:p>
      </xdr:txBody>
    </xdr:sp>
    <xdr:clientData/>
  </xdr:twoCellAnchor>
  <xdr:twoCellAnchor>
    <xdr:from>
      <xdr:col>0</xdr:col>
      <xdr:colOff>726440</xdr:colOff>
      <xdr:row>0</xdr:row>
      <xdr:rowOff>269240</xdr:rowOff>
    </xdr:from>
    <xdr:to>
      <xdr:col>2</xdr:col>
      <xdr:colOff>405783</xdr:colOff>
      <xdr:row>2</xdr:row>
      <xdr:rowOff>82550</xdr:rowOff>
    </xdr:to>
    <xdr:pic>
      <xdr:nvPicPr>
        <xdr:cNvPr id="113" name="Logo Emelce.png" descr="Logo Emelce.png">
          <a:extLst>
            <a:ext uri="{FF2B5EF4-FFF2-40B4-BE49-F238E27FC236}">
              <a16:creationId xmlns:a16="http://schemas.microsoft.com/office/drawing/2014/main" id="{00000000-0008-0000-0B00-000071000000}"/>
            </a:ext>
          </a:extLst>
        </xdr:cNvPr>
        <xdr:cNvPicPr>
          <a:picLocks noChangeAspect="1"/>
        </xdr:cNvPicPr>
      </xdr:nvPicPr>
      <xdr:blipFill>
        <a:blip xmlns:r="http://schemas.openxmlformats.org/officeDocument/2006/relationships" r:embed="rId1"/>
        <a:srcRect/>
        <a:stretch>
          <a:fillRect/>
        </a:stretch>
      </xdr:blipFill>
      <xdr:spPr>
        <a:xfrm>
          <a:off x="726439" y="269240"/>
          <a:ext cx="1876445" cy="1009650"/>
        </a:xfrm>
        <a:prstGeom prst="rect">
          <a:avLst/>
        </a:prstGeom>
        <a:ln w="12700" cap="flat">
          <a:noFill/>
          <a:miter lim="400000"/>
        </a:ln>
        <a:effec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711200</xdr:colOff>
      <xdr:row>0</xdr:row>
      <xdr:rowOff>165544</xdr:rowOff>
    </xdr:from>
    <xdr:to>
      <xdr:col>6</xdr:col>
      <xdr:colOff>0</xdr:colOff>
      <xdr:row>3</xdr:row>
      <xdr:rowOff>122745</xdr:rowOff>
    </xdr:to>
    <xdr:grpSp>
      <xdr:nvGrpSpPr>
        <xdr:cNvPr id="117" name="11 Rectángulo">
          <a:extLst>
            <a:ext uri="{FF2B5EF4-FFF2-40B4-BE49-F238E27FC236}">
              <a16:creationId xmlns:a16="http://schemas.microsoft.com/office/drawing/2014/main" id="{00000000-0008-0000-0C00-000075000000}"/>
            </a:ext>
          </a:extLst>
        </xdr:cNvPr>
        <xdr:cNvGrpSpPr/>
      </xdr:nvGrpSpPr>
      <xdr:grpSpPr>
        <a:xfrm>
          <a:off x="711200" y="165544"/>
          <a:ext cx="27343100" cy="528701"/>
          <a:chOff x="0" y="-15430"/>
          <a:chExt cx="29883100" cy="528701"/>
        </a:xfrm>
      </xdr:grpSpPr>
      <xdr:sp macro="" textlink="">
        <xdr:nvSpPr>
          <xdr:cNvPr id="115" name="Rectángulo">
            <a:extLst>
              <a:ext uri="{FF2B5EF4-FFF2-40B4-BE49-F238E27FC236}">
                <a16:creationId xmlns:a16="http://schemas.microsoft.com/office/drawing/2014/main" id="{00000000-0008-0000-0C00-000073000000}"/>
              </a:ext>
            </a:extLst>
          </xdr:cNvPr>
          <xdr:cNvSpPr/>
        </xdr:nvSpPr>
        <xdr:spPr>
          <a:xfrm>
            <a:off x="0" y="0"/>
            <a:ext cx="29883100" cy="485775"/>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xdr:spPr>
        <xdr:txBody>
          <a:bodyPr/>
          <a:lstStyle/>
          <a:p>
            <a:endParaRPr/>
          </a:p>
        </xdr:txBody>
      </xdr:sp>
      <xdr:sp macro="" textlink="">
        <xdr:nvSpPr>
          <xdr:cNvPr id="116" name="10. Relación DOFA">
            <a:extLst>
              <a:ext uri="{FF2B5EF4-FFF2-40B4-BE49-F238E27FC236}">
                <a16:creationId xmlns:a16="http://schemas.microsoft.com/office/drawing/2014/main" id="{00000000-0008-0000-0C00-000074000000}"/>
              </a:ext>
            </a:extLst>
          </xdr:cNvPr>
          <xdr:cNvSpPr txBox="1"/>
        </xdr:nvSpPr>
        <xdr:spPr>
          <a:xfrm>
            <a:off x="45719" y="-15431"/>
            <a:ext cx="29791662" cy="528702"/>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10. Relación DOFA</a:t>
            </a:r>
          </a:p>
        </xdr:txBody>
      </xdr:sp>
    </xdr:grpSp>
    <xdr:clientData/>
  </xdr:twoCellAnchor>
  <xdr:twoCellAnchor>
    <xdr:from>
      <xdr:col>1</xdr:col>
      <xdr:colOff>176776</xdr:colOff>
      <xdr:row>8</xdr:row>
      <xdr:rowOff>267692</xdr:rowOff>
    </xdr:from>
    <xdr:to>
      <xdr:col>1</xdr:col>
      <xdr:colOff>8705418</xdr:colOff>
      <xdr:row>23</xdr:row>
      <xdr:rowOff>10344</xdr:rowOff>
    </xdr:to>
    <xdr:pic>
      <xdr:nvPicPr>
        <xdr:cNvPr id="118" name="Logo Emelce.png" descr="Logo Emelce.png">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a:srcRect/>
        <a:stretch>
          <a:fillRect/>
        </a:stretch>
      </xdr:blipFill>
      <xdr:spPr>
        <a:xfrm>
          <a:off x="1053076" y="2458442"/>
          <a:ext cx="8528643" cy="4588973"/>
        </a:xfrm>
        <a:prstGeom prst="rect">
          <a:avLst/>
        </a:prstGeom>
        <a:ln w="12700" cap="flat">
          <a:noFill/>
          <a:miter lim="400000"/>
        </a:ln>
        <a:effec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12698</xdr:colOff>
      <xdr:row>7</xdr:row>
      <xdr:rowOff>26796</xdr:rowOff>
    </xdr:from>
    <xdr:to>
      <xdr:col>33</xdr:col>
      <xdr:colOff>1835151</xdr:colOff>
      <xdr:row>9</xdr:row>
      <xdr:rowOff>2649</xdr:rowOff>
    </xdr:to>
    <xdr:sp macro="" textlink="">
      <xdr:nvSpPr>
        <xdr:cNvPr id="121" name="11 Rectángulo">
          <a:extLst>
            <a:ext uri="{FF2B5EF4-FFF2-40B4-BE49-F238E27FC236}">
              <a16:creationId xmlns:a16="http://schemas.microsoft.com/office/drawing/2014/main" id="{00000000-0008-0000-0D00-000079000000}"/>
            </a:ext>
          </a:extLst>
        </xdr:cNvPr>
        <xdr:cNvSpPr/>
      </xdr:nvSpPr>
      <xdr:spPr>
        <a:xfrm>
          <a:off x="12698" y="2125824"/>
          <a:ext cx="19673009" cy="469742"/>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11. Cronograma del plan estratégco. </a:t>
          </a:r>
          <a:r>
            <a:rPr lang="es-419"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2026</a:t>
          </a:r>
          <a:endPar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endParaRPr>
        </a:p>
      </xdr:txBody>
    </xdr:sp>
    <xdr:clientData/>
  </xdr:twoCellAnchor>
  <xdr:twoCellAnchor>
    <xdr:from>
      <xdr:col>1</xdr:col>
      <xdr:colOff>457200</xdr:colOff>
      <xdr:row>1</xdr:row>
      <xdr:rowOff>88265</xdr:rowOff>
    </xdr:from>
    <xdr:to>
      <xdr:col>1</xdr:col>
      <xdr:colOff>2333643</xdr:colOff>
      <xdr:row>4</xdr:row>
      <xdr:rowOff>190500</xdr:rowOff>
    </xdr:to>
    <xdr:pic>
      <xdr:nvPicPr>
        <xdr:cNvPr id="122" name="Logo Emelce.png" descr="Logo Emelce.png">
          <a:extLst>
            <a:ext uri="{FF2B5EF4-FFF2-40B4-BE49-F238E27FC236}">
              <a16:creationId xmlns:a16="http://schemas.microsoft.com/office/drawing/2014/main" id="{00000000-0008-0000-0D00-00007A000000}"/>
            </a:ext>
          </a:extLst>
        </xdr:cNvPr>
        <xdr:cNvPicPr>
          <a:picLocks noChangeAspect="1"/>
        </xdr:cNvPicPr>
      </xdr:nvPicPr>
      <xdr:blipFill>
        <a:blip xmlns:r="http://schemas.openxmlformats.org/officeDocument/2006/relationships" r:embed="rId1"/>
        <a:srcRect/>
        <a:stretch>
          <a:fillRect/>
        </a:stretch>
      </xdr:blipFill>
      <xdr:spPr>
        <a:xfrm>
          <a:off x="3835399" y="354964"/>
          <a:ext cx="1876445" cy="1009651"/>
        </a:xfrm>
        <a:prstGeom prst="rect">
          <a:avLst/>
        </a:prstGeom>
        <a:ln w="12700" cap="flat">
          <a:noFill/>
          <a:miter lim="400000"/>
        </a:ln>
        <a:effec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171577</xdr:rowOff>
    </xdr:from>
    <xdr:to>
      <xdr:col>28</xdr:col>
      <xdr:colOff>207010</xdr:colOff>
      <xdr:row>9</xdr:row>
      <xdr:rowOff>172593</xdr:rowOff>
    </xdr:to>
    <xdr:sp macro="" textlink="">
      <xdr:nvSpPr>
        <xdr:cNvPr id="127" name="11 Rectángulo">
          <a:extLst>
            <a:ext uri="{FF2B5EF4-FFF2-40B4-BE49-F238E27FC236}">
              <a16:creationId xmlns:a16="http://schemas.microsoft.com/office/drawing/2014/main" id="{00000000-0008-0000-0F00-00007F000000}"/>
            </a:ext>
          </a:extLst>
        </xdr:cNvPr>
        <xdr:cNvSpPr/>
      </xdr:nvSpPr>
      <xdr:spPr>
        <a:xfrm>
          <a:off x="-19051" y="1296162"/>
          <a:ext cx="28172412"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12. Proyección de ventas. </a:t>
          </a:r>
        </a:p>
      </xdr:txBody>
    </xdr:sp>
    <xdr:clientData/>
  </xdr:twoCellAnchor>
  <xdr:twoCellAnchor>
    <xdr:from>
      <xdr:col>0</xdr:col>
      <xdr:colOff>244475</xdr:colOff>
      <xdr:row>0</xdr:row>
      <xdr:rowOff>48542</xdr:rowOff>
    </xdr:from>
    <xdr:to>
      <xdr:col>1</xdr:col>
      <xdr:colOff>18</xdr:colOff>
      <xdr:row>5</xdr:row>
      <xdr:rowOff>124107</xdr:rowOff>
    </xdr:to>
    <xdr:pic>
      <xdr:nvPicPr>
        <xdr:cNvPr id="128" name="Logo Emelce.png" descr="Logo Emelce.png">
          <a:extLst>
            <a:ext uri="{FF2B5EF4-FFF2-40B4-BE49-F238E27FC236}">
              <a16:creationId xmlns:a16="http://schemas.microsoft.com/office/drawing/2014/main" id="{00000000-0008-0000-0F00-000080000000}"/>
            </a:ext>
          </a:extLst>
        </xdr:cNvPr>
        <xdr:cNvPicPr>
          <a:picLocks noChangeAspect="1"/>
        </xdr:cNvPicPr>
      </xdr:nvPicPr>
      <xdr:blipFill>
        <a:blip xmlns:r="http://schemas.openxmlformats.org/officeDocument/2006/relationships" r:embed="rId1"/>
        <a:srcRect/>
        <a:stretch>
          <a:fillRect/>
        </a:stretch>
      </xdr:blipFill>
      <xdr:spPr>
        <a:xfrm>
          <a:off x="244475" y="48542"/>
          <a:ext cx="1876444" cy="1009651"/>
        </a:xfrm>
        <a:prstGeom prst="rect">
          <a:avLst/>
        </a:prstGeom>
        <a:ln w="12700" cap="flat">
          <a:noFill/>
          <a:miter lim="400000"/>
        </a:ln>
        <a:effec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7620</xdr:colOff>
      <xdr:row>0</xdr:row>
      <xdr:rowOff>38100</xdr:rowOff>
    </xdr:from>
    <xdr:to>
      <xdr:col>2</xdr:col>
      <xdr:colOff>2857</xdr:colOff>
      <xdr:row>4</xdr:row>
      <xdr:rowOff>132715</xdr:rowOff>
    </xdr:to>
    <xdr:pic>
      <xdr:nvPicPr>
        <xdr:cNvPr id="124" name="Imagen 1" descr="Imagen 1">
          <a:extLst>
            <a:ext uri="{FF2B5EF4-FFF2-40B4-BE49-F238E27FC236}">
              <a16:creationId xmlns:a16="http://schemas.microsoft.com/office/drawing/2014/main" id="{00000000-0008-0000-0E00-00007C000000}"/>
            </a:ext>
          </a:extLst>
        </xdr:cNvPr>
        <xdr:cNvPicPr>
          <a:picLocks noChangeAspect="1"/>
        </xdr:cNvPicPr>
      </xdr:nvPicPr>
      <xdr:blipFill>
        <a:blip xmlns:r="http://schemas.openxmlformats.org/officeDocument/2006/relationships" r:embed="rId1"/>
        <a:stretch>
          <a:fillRect/>
        </a:stretch>
      </xdr:blipFill>
      <xdr:spPr>
        <a:xfrm>
          <a:off x="7620" y="38100"/>
          <a:ext cx="1646238" cy="838200"/>
        </a:xfrm>
        <a:prstGeom prst="rect">
          <a:avLst/>
        </a:prstGeom>
        <a:ln w="12700" cap="flat">
          <a:noFill/>
          <a:miter lim="400000"/>
        </a:ln>
        <a:effectLst/>
      </xdr:spPr>
    </xdr:pic>
    <xdr:clientData/>
  </xdr:twoCellAnchor>
  <xdr:twoCellAnchor>
    <xdr:from>
      <xdr:col>0</xdr:col>
      <xdr:colOff>9525</xdr:colOff>
      <xdr:row>7</xdr:row>
      <xdr:rowOff>24891</xdr:rowOff>
    </xdr:from>
    <xdr:to>
      <xdr:col>28</xdr:col>
      <xdr:colOff>216536</xdr:colOff>
      <xdr:row>10</xdr:row>
      <xdr:rowOff>25907</xdr:rowOff>
    </xdr:to>
    <xdr:sp macro="" textlink="">
      <xdr:nvSpPr>
        <xdr:cNvPr id="125" name="11 Rectángulo">
          <a:extLst>
            <a:ext uri="{FF2B5EF4-FFF2-40B4-BE49-F238E27FC236}">
              <a16:creationId xmlns:a16="http://schemas.microsoft.com/office/drawing/2014/main" id="{00000000-0008-0000-0E00-00007D000000}"/>
            </a:ext>
          </a:extLst>
        </xdr:cNvPr>
        <xdr:cNvSpPr/>
      </xdr:nvSpPr>
      <xdr:spPr>
        <a:xfrm>
          <a:off x="9525" y="1339976"/>
          <a:ext cx="34852612"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13. Presupuesto de ingresos. </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76327</xdr:rowOff>
    </xdr:from>
    <xdr:to>
      <xdr:col>46</xdr:col>
      <xdr:colOff>351718</xdr:colOff>
      <xdr:row>9</xdr:row>
      <xdr:rowOff>77343</xdr:rowOff>
    </xdr:to>
    <xdr:sp macro="" textlink="">
      <xdr:nvSpPr>
        <xdr:cNvPr id="2" name="11 Rectángulo">
          <a:extLst>
            <a:ext uri="{FF2B5EF4-FFF2-40B4-BE49-F238E27FC236}">
              <a16:creationId xmlns:a16="http://schemas.microsoft.com/office/drawing/2014/main" id="{4ACE2500-9A50-425C-9545-1ED71148EAA9}"/>
            </a:ext>
          </a:extLst>
        </xdr:cNvPr>
        <xdr:cNvSpPr/>
      </xdr:nvSpPr>
      <xdr:spPr>
        <a:xfrm>
          <a:off x="0" y="1205720"/>
          <a:ext cx="55134075" cy="572516"/>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15. flujo de caja. </a:t>
          </a:r>
        </a:p>
      </xdr:txBody>
    </xdr:sp>
    <xdr:clientData/>
  </xdr:twoCellAnchor>
  <xdr:twoCellAnchor>
    <xdr:from>
      <xdr:col>0</xdr:col>
      <xdr:colOff>167640</xdr:colOff>
      <xdr:row>0</xdr:row>
      <xdr:rowOff>48542</xdr:rowOff>
    </xdr:from>
    <xdr:to>
      <xdr:col>1</xdr:col>
      <xdr:colOff>304183</xdr:colOff>
      <xdr:row>5</xdr:row>
      <xdr:rowOff>124107</xdr:rowOff>
    </xdr:to>
    <xdr:pic>
      <xdr:nvPicPr>
        <xdr:cNvPr id="3" name="Logo Emelce.png" descr="Logo Emelce.png">
          <a:extLst>
            <a:ext uri="{FF2B5EF4-FFF2-40B4-BE49-F238E27FC236}">
              <a16:creationId xmlns:a16="http://schemas.microsoft.com/office/drawing/2014/main" id="{03EDDD66-164E-4DA1-B18D-72ABAC58C0C9}"/>
            </a:ext>
          </a:extLst>
        </xdr:cNvPr>
        <xdr:cNvPicPr>
          <a:picLocks noChangeAspect="1"/>
        </xdr:cNvPicPr>
      </xdr:nvPicPr>
      <xdr:blipFill>
        <a:blip xmlns:r="http://schemas.openxmlformats.org/officeDocument/2006/relationships" r:embed="rId1"/>
        <a:srcRect/>
        <a:stretch>
          <a:fillRect/>
        </a:stretch>
      </xdr:blipFill>
      <xdr:spPr>
        <a:xfrm>
          <a:off x="167640" y="48542"/>
          <a:ext cx="1660543" cy="1009015"/>
        </a:xfrm>
        <a:prstGeom prst="rect">
          <a:avLst/>
        </a:prstGeom>
        <a:ln w="12700" cap="flat">
          <a:noFill/>
          <a:miter lim="400000"/>
        </a:ln>
        <a:effec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188917</xdr:colOff>
      <xdr:row>0</xdr:row>
      <xdr:rowOff>48542</xdr:rowOff>
    </xdr:from>
    <xdr:to>
      <xdr:col>1</xdr:col>
      <xdr:colOff>1978623</xdr:colOff>
      <xdr:row>5</xdr:row>
      <xdr:rowOff>124107</xdr:rowOff>
    </xdr:to>
    <xdr:pic>
      <xdr:nvPicPr>
        <xdr:cNvPr id="137" name="Logo Emelce.png" descr="Logo Emelce.png">
          <a:extLst>
            <a:ext uri="{FF2B5EF4-FFF2-40B4-BE49-F238E27FC236}">
              <a16:creationId xmlns:a16="http://schemas.microsoft.com/office/drawing/2014/main" id="{00000000-0008-0000-1200-000089000000}"/>
            </a:ext>
          </a:extLst>
        </xdr:cNvPr>
        <xdr:cNvPicPr>
          <a:picLocks noChangeAspect="1"/>
        </xdr:cNvPicPr>
      </xdr:nvPicPr>
      <xdr:blipFill>
        <a:blip xmlns:r="http://schemas.openxmlformats.org/officeDocument/2006/relationships" r:embed="rId1"/>
        <a:srcRect/>
        <a:stretch>
          <a:fillRect/>
        </a:stretch>
      </xdr:blipFill>
      <xdr:spPr>
        <a:xfrm>
          <a:off x="1265656" y="48542"/>
          <a:ext cx="1789706" cy="1023464"/>
        </a:xfrm>
        <a:prstGeom prst="rect">
          <a:avLst/>
        </a:prstGeom>
        <a:ln w="12700" cap="flat">
          <a:noFill/>
          <a:miter lim="400000"/>
        </a:ln>
        <a:effec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19177</xdr:rowOff>
    </xdr:from>
    <xdr:to>
      <xdr:col>28</xdr:col>
      <xdr:colOff>207010</xdr:colOff>
      <xdr:row>9</xdr:row>
      <xdr:rowOff>20193</xdr:rowOff>
    </xdr:to>
    <xdr:sp macro="" textlink="">
      <xdr:nvSpPr>
        <xdr:cNvPr id="139" name="11 Rectángulo">
          <a:extLst>
            <a:ext uri="{FF2B5EF4-FFF2-40B4-BE49-F238E27FC236}">
              <a16:creationId xmlns:a16="http://schemas.microsoft.com/office/drawing/2014/main" id="{00000000-0008-0000-1300-00008B000000}"/>
            </a:ext>
          </a:extLst>
        </xdr:cNvPr>
        <xdr:cNvSpPr/>
      </xdr:nvSpPr>
      <xdr:spPr>
        <a:xfrm>
          <a:off x="-19050" y="1143762"/>
          <a:ext cx="35487612" cy="572517"/>
        </a:xfrm>
        <a:prstGeom prst="rect">
          <a:avLst/>
        </a:prstGeom>
        <a:solidFill>
          <a:srgbClr val="9DC3E6"/>
        </a:solidFill>
        <a:ln w="38100" cap="flat">
          <a:solidFill>
            <a:srgbClr val="002060"/>
          </a:solidFill>
          <a:prstDash val="solid"/>
          <a:miter lim="800000"/>
        </a:ln>
        <a:effectLst>
          <a:outerShdw blurRad="50800" dist="27940" dir="5400000" rotWithShape="0">
            <a:srgbClr val="000000">
              <a:alpha val="32000"/>
            </a:srgbClr>
          </a:outerShdw>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9" tIns="45719" rIns="45719" bIns="45719" numCol="1" anchor="t">
          <a:spAutoFit/>
        </a:bodyPr>
        <a:lstStyle/>
        <a:p>
          <a:pPr marL="0" marR="0" indent="0" algn="ctr" defTabSz="457200" latinLnBrk="0">
            <a:lnSpc>
              <a:spcPct val="100000"/>
            </a:lnSpc>
            <a:spcBef>
              <a:spcPts val="0"/>
            </a:spcBef>
            <a:spcAft>
              <a:spcPts val="0"/>
            </a:spcAft>
            <a:buClrTx/>
            <a:buSzTx/>
            <a:buFontTx/>
            <a:buNone/>
            <a:def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defRPr>
          </a:pPr>
          <a:r>
            <a:rPr sz="2400" b="1" i="0" u="none" strike="noStrike" cap="none" spc="0" baseline="0">
              <a:ln w="12700" cap="flat">
                <a:solidFill>
                  <a:srgbClr val="153553"/>
                </a:solidFill>
                <a:prstDash val="solid"/>
                <a:round/>
              </a:ln>
              <a:solidFill>
                <a:srgbClr val="000000"/>
              </a:solidFill>
              <a:uFillTx/>
              <a:latin typeface="Century Gothic"/>
              <a:ea typeface="Century Gothic"/>
              <a:cs typeface="Century Gothic"/>
              <a:sym typeface="Century Gothic"/>
            </a:rPr>
            <a:t>17. Plan de inversiones. </a:t>
          </a:r>
        </a:p>
      </xdr:txBody>
    </xdr:sp>
    <xdr:clientData/>
  </xdr:twoCellAnchor>
  <xdr:twoCellAnchor>
    <xdr:from>
      <xdr:col>0</xdr:col>
      <xdr:colOff>79375</xdr:colOff>
      <xdr:row>0</xdr:row>
      <xdr:rowOff>75728</xdr:rowOff>
    </xdr:from>
    <xdr:to>
      <xdr:col>0</xdr:col>
      <xdr:colOff>1854585</xdr:colOff>
      <xdr:row>5</xdr:row>
      <xdr:rowOff>96824</xdr:rowOff>
    </xdr:to>
    <xdr:pic>
      <xdr:nvPicPr>
        <xdr:cNvPr id="140" name="Logo Emelce.png" descr="Logo Emelce.png">
          <a:extLst>
            <a:ext uri="{FF2B5EF4-FFF2-40B4-BE49-F238E27FC236}">
              <a16:creationId xmlns:a16="http://schemas.microsoft.com/office/drawing/2014/main" id="{00000000-0008-0000-1300-00008C000000}"/>
            </a:ext>
          </a:extLst>
        </xdr:cNvPr>
        <xdr:cNvPicPr>
          <a:picLocks noChangeAspect="1"/>
        </xdr:cNvPicPr>
      </xdr:nvPicPr>
      <xdr:blipFill>
        <a:blip xmlns:r="http://schemas.openxmlformats.org/officeDocument/2006/relationships" r:embed="rId1"/>
        <a:srcRect/>
        <a:stretch>
          <a:fillRect/>
        </a:stretch>
      </xdr:blipFill>
      <xdr:spPr>
        <a:xfrm>
          <a:off x="79374" y="75728"/>
          <a:ext cx="1775212" cy="955182"/>
        </a:xfrm>
        <a:prstGeom prst="rect">
          <a:avLst/>
        </a:prstGeom>
        <a:ln w="12700" cap="flat">
          <a:noFill/>
          <a:miter lim="400000"/>
        </a:ln>
        <a:effectLst/>
      </xdr:spPr>
    </xdr:pic>
    <xdr:clientData/>
  </xdr:twoCellAnchor>
</xdr:wsDr>
</file>

<file path=xl/theme/theme1.xml><?xml version="1.0" encoding="utf-8"?>
<a:theme xmlns:a="http://schemas.openxmlformats.org/drawingml/2006/main" name="Tema de Office">
  <a:themeElements>
    <a:clrScheme name="Tema de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Tema de Office">
      <a:majorFont>
        <a:latin typeface="Helvetica Neue"/>
        <a:ea typeface="Helvetica Neue"/>
        <a:cs typeface="Helvetica Neue"/>
      </a:majorFont>
      <a:minorFont>
        <a:latin typeface="Helvetica Neue"/>
        <a:ea typeface="Helvetica Neue"/>
        <a:cs typeface="Helvetica Neue"/>
      </a:minorFont>
    </a:fontScheme>
    <a:fmtScheme name="Tema de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hyperlink" Target="https://www.emelcesa.com/copy-4-of-caracterizacion-gd-4-1-3" TargetMode="External"/><Relationship Id="rId13" Type="http://schemas.openxmlformats.org/officeDocument/2006/relationships/hyperlink" Target="https://gestornormativo.creg.gov.co/gestor/entorno/docs/resolucion_creg_0070_1998.htm" TargetMode="External"/><Relationship Id="rId3" Type="http://schemas.openxmlformats.org/officeDocument/2006/relationships/hyperlink" Target="https://gestornormativo.creg.gov.co/gestor/entorno/docs/resolucion_creg_0034_2004.htm" TargetMode="External"/><Relationship Id="rId7" Type="http://schemas.openxmlformats.org/officeDocument/2006/relationships/hyperlink" Target="https://gestornormativo.creg.gov.co/gestor/entorno/docs/resolucion_creg_0091_2007.htm" TargetMode="External"/><Relationship Id="rId12" Type="http://schemas.openxmlformats.org/officeDocument/2006/relationships/hyperlink" Target="https://gestornormativo.creg.gov.co/gestor/entorno/docs/resolucion_creg_0034_2004.htm" TargetMode="External"/><Relationship Id="rId2" Type="http://schemas.openxmlformats.org/officeDocument/2006/relationships/hyperlink" Target="https://gestornormativo.creg.gov.co/gestor/entorno/docs/resolucion_creg_0034_2004.htm" TargetMode="External"/><Relationship Id="rId1" Type="http://schemas.openxmlformats.org/officeDocument/2006/relationships/hyperlink" Target="https://gestornormativo.creg.gov.co/gestor/entorno/docs/resolucion_creg_0034_2004.htm" TargetMode="External"/><Relationship Id="rId6" Type="http://schemas.openxmlformats.org/officeDocument/2006/relationships/hyperlink" Target="https://www.alcaldiabogota.gov.co/sisjur/normas/Norma1.jsp?i=19990" TargetMode="External"/><Relationship Id="rId11" Type="http://schemas.openxmlformats.org/officeDocument/2006/relationships/hyperlink" Target="https://gestornormativo.creg.gov.co/gestor/entorno/docs/resolucion_creg_0034_2004.htm" TargetMode="External"/><Relationship Id="rId5" Type="http://schemas.openxmlformats.org/officeDocument/2006/relationships/hyperlink" Target="https://gestornormativo.creg.gov.co/gestor/entorno/docs/resolucion_creg_0034_2004.htm" TargetMode="External"/><Relationship Id="rId15" Type="http://schemas.openxmlformats.org/officeDocument/2006/relationships/drawing" Target="../drawings/drawing11.xml"/><Relationship Id="rId10" Type="http://schemas.openxmlformats.org/officeDocument/2006/relationships/hyperlink" Target="https://gestornormativo.creg.gov.co/gestor/entorno/docs/resolucion_creg_0034_2004.htm" TargetMode="External"/><Relationship Id="rId4" Type="http://schemas.openxmlformats.org/officeDocument/2006/relationships/hyperlink" Target="https://gestornormativo.creg.gov.co/gestor/entorno/docs/resolucion_creg_0034_2004.htm" TargetMode="External"/><Relationship Id="rId9" Type="http://schemas.openxmlformats.org/officeDocument/2006/relationships/hyperlink" Target="https://gestornormativo.creg.gov.co/gestor/entorno/docs/resolucion_creg_0034_2004.htm" TargetMode="External"/><Relationship Id="rId14" Type="http://schemas.openxmlformats.org/officeDocument/2006/relationships/hyperlink" Target="https://www.emelcesa.com/normatividad"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3"/>
  <sheetViews>
    <sheetView showGridLines="0" topLeftCell="A45" workbookViewId="0">
      <selection sqref="A1:C3"/>
    </sheetView>
  </sheetViews>
  <sheetFormatPr baseColWidth="10" defaultColWidth="11.453125" defaultRowHeight="15" customHeight="1"/>
  <cols>
    <col min="1" max="17" width="11.453125" style="1" customWidth="1"/>
    <col min="18" max="16384" width="11.453125" style="1"/>
  </cols>
  <sheetData>
    <row r="1" spans="1:16" ht="20.25" customHeight="1">
      <c r="A1" s="428" t="s">
        <v>0</v>
      </c>
      <c r="B1" s="429"/>
      <c r="C1" s="430"/>
      <c r="D1" s="437" t="s">
        <v>1</v>
      </c>
      <c r="E1" s="438"/>
      <c r="F1" s="438"/>
      <c r="G1" s="438"/>
      <c r="H1" s="438"/>
      <c r="I1" s="438"/>
      <c r="J1" s="438"/>
      <c r="K1" s="438"/>
      <c r="L1" s="438"/>
      <c r="M1" s="438"/>
      <c r="N1" s="439" t="s">
        <v>2</v>
      </c>
      <c r="O1" s="440"/>
      <c r="P1" s="441"/>
    </row>
    <row r="2" spans="1:16" ht="19.5" customHeight="1">
      <c r="A2" s="431"/>
      <c r="B2" s="432"/>
      <c r="C2" s="433"/>
      <c r="D2" s="442" t="s">
        <v>3</v>
      </c>
      <c r="E2" s="443"/>
      <c r="F2" s="443"/>
      <c r="G2" s="443"/>
      <c r="H2" s="443"/>
      <c r="I2" s="443"/>
      <c r="J2" s="443"/>
      <c r="K2" s="443"/>
      <c r="L2" s="443"/>
      <c r="M2" s="443"/>
      <c r="N2" s="444" t="s">
        <v>4</v>
      </c>
      <c r="O2" s="445"/>
      <c r="P2" s="446"/>
    </row>
    <row r="3" spans="1:16" ht="61" customHeight="1">
      <c r="A3" s="434"/>
      <c r="B3" s="435"/>
      <c r="C3" s="436"/>
      <c r="D3" s="443"/>
      <c r="E3" s="443"/>
      <c r="F3" s="443"/>
      <c r="G3" s="443"/>
      <c r="H3" s="443"/>
      <c r="I3" s="443"/>
      <c r="J3" s="443"/>
      <c r="K3" s="443"/>
      <c r="L3" s="443"/>
      <c r="M3" s="443"/>
      <c r="N3" s="447" t="s">
        <v>5</v>
      </c>
      <c r="O3" s="445"/>
      <c r="P3" s="446"/>
    </row>
    <row r="4" spans="1:16" ht="15" customHeight="1">
      <c r="A4" s="4"/>
      <c r="B4" s="5"/>
      <c r="C4" s="5"/>
      <c r="D4" s="5"/>
      <c r="E4" s="5"/>
      <c r="F4" s="5"/>
      <c r="G4" s="5"/>
      <c r="H4" s="5"/>
      <c r="I4" s="5"/>
      <c r="J4" s="5"/>
      <c r="K4" s="5"/>
      <c r="L4" s="5"/>
      <c r="M4" s="5"/>
      <c r="N4" s="5"/>
      <c r="O4" s="5"/>
      <c r="P4" s="6"/>
    </row>
    <row r="5" spans="1:16" ht="15" customHeight="1">
      <c r="A5" s="7"/>
      <c r="B5" s="8"/>
      <c r="C5" s="8"/>
      <c r="D5" s="8"/>
      <c r="E5" s="8"/>
      <c r="F5" s="8"/>
      <c r="G5" s="8"/>
      <c r="H5" s="8"/>
      <c r="I5" s="8"/>
      <c r="J5" s="8"/>
      <c r="K5" s="8"/>
      <c r="L5" s="8"/>
      <c r="M5" s="8"/>
      <c r="N5" s="8"/>
      <c r="O5" s="8"/>
      <c r="P5" s="9"/>
    </row>
    <row r="6" spans="1:16" ht="15" customHeight="1">
      <c r="A6" s="7"/>
      <c r="B6" s="8"/>
      <c r="C6" s="8"/>
      <c r="D6" s="8"/>
      <c r="E6" s="8"/>
      <c r="F6" s="8"/>
      <c r="G6" s="8"/>
      <c r="H6" s="8"/>
      <c r="I6" s="8"/>
      <c r="J6" s="8"/>
      <c r="K6" s="8"/>
      <c r="L6" s="8"/>
      <c r="M6" s="8"/>
      <c r="N6" s="8"/>
      <c r="O6" s="8"/>
      <c r="P6" s="9"/>
    </row>
    <row r="7" spans="1:16" ht="15" customHeight="1">
      <c r="A7" s="7"/>
      <c r="B7" s="8"/>
      <c r="C7" s="8"/>
      <c r="D7" s="8"/>
      <c r="E7" s="8"/>
      <c r="F7" s="8"/>
      <c r="G7" s="8"/>
      <c r="H7" s="8"/>
      <c r="I7" s="8"/>
      <c r="J7" s="8"/>
      <c r="K7" s="8"/>
      <c r="L7" s="8"/>
      <c r="M7" s="8"/>
      <c r="N7" s="8"/>
      <c r="O7" s="8"/>
      <c r="P7" s="9"/>
    </row>
    <row r="8" spans="1:16" ht="15" customHeight="1">
      <c r="A8" s="7"/>
      <c r="B8" s="8"/>
      <c r="C8" s="8"/>
      <c r="D8" s="8"/>
      <c r="E8" s="8"/>
      <c r="F8" s="8"/>
      <c r="G8" s="8"/>
      <c r="H8" s="8"/>
      <c r="I8" s="8"/>
      <c r="J8" s="8"/>
      <c r="K8" s="8"/>
      <c r="L8" s="8"/>
      <c r="M8" s="8"/>
      <c r="N8" s="8"/>
      <c r="O8" s="8"/>
      <c r="P8" s="9"/>
    </row>
    <row r="9" spans="1:16" ht="15" customHeight="1">
      <c r="A9" s="7"/>
      <c r="B9" s="8"/>
      <c r="C9" s="8"/>
      <c r="D9" s="8"/>
      <c r="E9" s="8"/>
      <c r="F9" s="8"/>
      <c r="G9" s="8"/>
      <c r="H9" s="8"/>
      <c r="I9" s="8"/>
      <c r="J9" s="8"/>
      <c r="K9" s="8"/>
      <c r="L9" s="8"/>
      <c r="M9" s="8"/>
      <c r="N9" s="8"/>
      <c r="O9" s="8"/>
      <c r="P9" s="9"/>
    </row>
    <row r="10" spans="1:16" ht="15" customHeight="1">
      <c r="A10" s="7"/>
      <c r="B10" s="8"/>
      <c r="C10" s="8"/>
      <c r="D10" s="8"/>
      <c r="E10" s="8"/>
      <c r="F10" s="8"/>
      <c r="G10" s="8"/>
      <c r="H10" s="8"/>
      <c r="I10" s="8"/>
      <c r="J10" s="8"/>
      <c r="K10" s="8"/>
      <c r="L10" s="8"/>
      <c r="M10" s="8"/>
      <c r="N10" s="8"/>
      <c r="O10" s="8"/>
      <c r="P10" s="9"/>
    </row>
    <row r="11" spans="1:16" ht="15" customHeight="1">
      <c r="A11" s="7"/>
      <c r="B11" s="8"/>
      <c r="C11" s="8"/>
      <c r="D11" s="8"/>
      <c r="E11" s="8"/>
      <c r="F11" s="8"/>
      <c r="G11" s="8"/>
      <c r="H11" s="8"/>
      <c r="I11" s="8"/>
      <c r="J11" s="8"/>
      <c r="K11" s="8"/>
      <c r="L11" s="8"/>
      <c r="M11" s="8"/>
      <c r="N11" s="8"/>
      <c r="O11" s="8"/>
      <c r="P11" s="9"/>
    </row>
    <row r="12" spans="1:16" ht="15" customHeight="1">
      <c r="A12" s="7"/>
      <c r="B12" s="8"/>
      <c r="C12" s="8"/>
      <c r="D12" s="8"/>
      <c r="E12" s="8"/>
      <c r="F12" s="8"/>
      <c r="G12" s="8"/>
      <c r="H12" s="8"/>
      <c r="I12" s="8"/>
      <c r="J12" s="8"/>
      <c r="K12" s="8"/>
      <c r="L12" s="8"/>
      <c r="M12" s="8"/>
      <c r="N12" s="8"/>
      <c r="O12" s="8"/>
      <c r="P12" s="9"/>
    </row>
    <row r="13" spans="1:16" ht="15" customHeight="1">
      <c r="A13" s="7"/>
      <c r="B13" s="8"/>
      <c r="C13" s="8"/>
      <c r="D13" s="8"/>
      <c r="E13" s="8"/>
      <c r="F13" s="8"/>
      <c r="G13" s="8"/>
      <c r="H13" s="8"/>
      <c r="I13" s="8"/>
      <c r="J13" s="8"/>
      <c r="K13" s="8"/>
      <c r="L13" s="8"/>
      <c r="M13" s="8"/>
      <c r="N13" s="8"/>
      <c r="O13" s="8"/>
      <c r="P13" s="9"/>
    </row>
    <row r="14" spans="1:16" ht="15" customHeight="1">
      <c r="A14" s="7"/>
      <c r="B14" s="8"/>
      <c r="C14" s="8"/>
      <c r="D14" s="8"/>
      <c r="E14" s="8"/>
      <c r="F14" s="8"/>
      <c r="G14" s="8"/>
      <c r="H14" s="8"/>
      <c r="I14" s="8"/>
      <c r="J14" s="8"/>
      <c r="K14" s="8"/>
      <c r="L14" s="8"/>
      <c r="M14" s="8"/>
      <c r="N14" s="8"/>
      <c r="O14" s="8"/>
      <c r="P14" s="9"/>
    </row>
    <row r="15" spans="1:16" ht="15" customHeight="1">
      <c r="A15" s="7"/>
      <c r="B15" s="8"/>
      <c r="C15" s="8"/>
      <c r="D15" s="8"/>
      <c r="E15" s="8"/>
      <c r="F15" s="8"/>
      <c r="G15" s="8"/>
      <c r="H15" s="8"/>
      <c r="I15" s="8"/>
      <c r="J15" s="8"/>
      <c r="K15" s="8"/>
      <c r="L15" s="8"/>
      <c r="M15" s="8"/>
      <c r="N15" s="8"/>
      <c r="O15" s="8"/>
      <c r="P15" s="9"/>
    </row>
    <row r="16" spans="1:16" ht="15" customHeight="1">
      <c r="A16" s="7"/>
      <c r="B16" s="8"/>
      <c r="C16" s="8"/>
      <c r="D16" s="8"/>
      <c r="E16" s="8"/>
      <c r="F16" s="8"/>
      <c r="G16" s="8"/>
      <c r="H16" s="8"/>
      <c r="I16" s="8"/>
      <c r="J16" s="8"/>
      <c r="K16" s="8"/>
      <c r="L16" s="8"/>
      <c r="M16" s="8"/>
      <c r="N16" s="8"/>
      <c r="O16" s="8"/>
      <c r="P16" s="9"/>
    </row>
    <row r="17" spans="1:16" ht="15" customHeight="1">
      <c r="A17" s="7"/>
      <c r="B17" s="8"/>
      <c r="C17" s="8"/>
      <c r="D17" s="8"/>
      <c r="E17" s="8"/>
      <c r="F17" s="8"/>
      <c r="G17" s="8"/>
      <c r="H17" s="8"/>
      <c r="I17" s="8"/>
      <c r="J17" s="8"/>
      <c r="K17" s="8"/>
      <c r="L17" s="8"/>
      <c r="M17" s="8"/>
      <c r="N17" s="8"/>
      <c r="O17" s="8"/>
      <c r="P17" s="9"/>
    </row>
    <row r="18" spans="1:16" ht="15" customHeight="1">
      <c r="A18" s="7"/>
      <c r="B18" s="8"/>
      <c r="C18" s="8"/>
      <c r="D18" s="8"/>
      <c r="E18" s="8"/>
      <c r="F18" s="8"/>
      <c r="G18" s="8"/>
      <c r="H18" s="8"/>
      <c r="I18" s="8"/>
      <c r="J18" s="8"/>
      <c r="K18" s="8"/>
      <c r="L18" s="8"/>
      <c r="M18" s="8"/>
      <c r="N18" s="8"/>
      <c r="O18" s="8"/>
      <c r="P18" s="9"/>
    </row>
    <row r="19" spans="1:16" ht="15" customHeight="1">
      <c r="A19" s="7"/>
      <c r="B19" s="8"/>
      <c r="C19" s="8"/>
      <c r="D19" s="8"/>
      <c r="E19" s="8"/>
      <c r="F19" s="8"/>
      <c r="G19" s="8"/>
      <c r="H19" s="8"/>
      <c r="I19" s="8"/>
      <c r="J19" s="8"/>
      <c r="K19" s="8"/>
      <c r="L19" s="8"/>
      <c r="M19" s="8"/>
      <c r="N19" s="8"/>
      <c r="O19" s="8"/>
      <c r="P19" s="9"/>
    </row>
    <row r="20" spans="1:16" ht="15" customHeight="1">
      <c r="A20" s="7"/>
      <c r="B20" s="8"/>
      <c r="C20" s="8"/>
      <c r="D20" s="8"/>
      <c r="E20" s="8"/>
      <c r="F20" s="8"/>
      <c r="G20" s="8"/>
      <c r="H20" s="8"/>
      <c r="I20" s="8"/>
      <c r="J20" s="8"/>
      <c r="K20" s="8"/>
      <c r="L20" s="8"/>
      <c r="M20" s="8"/>
      <c r="N20" s="8"/>
      <c r="O20" s="8"/>
      <c r="P20" s="9"/>
    </row>
    <row r="21" spans="1:16" ht="15" customHeight="1">
      <c r="A21" s="7"/>
      <c r="B21" s="8"/>
      <c r="C21" s="8"/>
      <c r="D21" s="8"/>
      <c r="E21" s="8"/>
      <c r="F21" s="8"/>
      <c r="G21" s="8"/>
      <c r="H21" s="8"/>
      <c r="I21" s="8"/>
      <c r="J21" s="8"/>
      <c r="K21" s="8"/>
      <c r="L21" s="8"/>
      <c r="M21" s="8"/>
      <c r="N21" s="8"/>
      <c r="O21" s="8"/>
      <c r="P21" s="9"/>
    </row>
    <row r="22" spans="1:16" ht="15" customHeight="1">
      <c r="A22" s="7"/>
      <c r="B22" s="8"/>
      <c r="C22" s="8"/>
      <c r="D22" s="8"/>
      <c r="E22" s="8"/>
      <c r="F22" s="8"/>
      <c r="G22" s="8"/>
      <c r="H22" s="8"/>
      <c r="I22" s="8"/>
      <c r="J22" s="8"/>
      <c r="K22" s="8"/>
      <c r="L22" s="8"/>
      <c r="M22" s="8"/>
      <c r="N22" s="8"/>
      <c r="O22" s="8"/>
      <c r="P22" s="9"/>
    </row>
    <row r="23" spans="1:16" ht="15" customHeight="1">
      <c r="A23" s="7"/>
      <c r="B23" s="8"/>
      <c r="C23" s="8"/>
      <c r="D23" s="8"/>
      <c r="E23" s="8"/>
      <c r="F23" s="8"/>
      <c r="G23" s="8"/>
      <c r="H23" s="8"/>
      <c r="I23" s="8"/>
      <c r="J23" s="8"/>
      <c r="K23" s="8"/>
      <c r="L23" s="8"/>
      <c r="M23" s="8"/>
      <c r="N23" s="8"/>
      <c r="O23" s="8"/>
      <c r="P23" s="9"/>
    </row>
    <row r="24" spans="1:16" ht="15" customHeight="1">
      <c r="A24" s="7"/>
      <c r="B24" s="8"/>
      <c r="C24" s="8"/>
      <c r="D24" s="8"/>
      <c r="E24" s="8"/>
      <c r="F24" s="8"/>
      <c r="G24" s="8"/>
      <c r="H24" s="8"/>
      <c r="I24" s="8"/>
      <c r="J24" s="8"/>
      <c r="K24" s="8"/>
      <c r="L24" s="8"/>
      <c r="M24" s="8"/>
      <c r="N24" s="8"/>
      <c r="O24" s="8"/>
      <c r="P24" s="9"/>
    </row>
    <row r="25" spans="1:16" ht="15" customHeight="1">
      <c r="A25" s="7"/>
      <c r="B25" s="8"/>
      <c r="C25" s="8"/>
      <c r="D25" s="8"/>
      <c r="E25" s="8"/>
      <c r="F25" s="8"/>
      <c r="G25" s="8"/>
      <c r="H25" s="8"/>
      <c r="I25" s="8"/>
      <c r="J25" s="8"/>
      <c r="K25" s="8"/>
      <c r="L25" s="8"/>
      <c r="M25" s="8"/>
      <c r="N25" s="8"/>
      <c r="O25" s="8"/>
      <c r="P25" s="9"/>
    </row>
    <row r="26" spans="1:16" ht="15" customHeight="1">
      <c r="A26" s="7"/>
      <c r="B26" s="8"/>
      <c r="C26" s="8"/>
      <c r="D26" s="8"/>
      <c r="E26" s="8"/>
      <c r="F26" s="8"/>
      <c r="G26" s="8"/>
      <c r="H26" s="8"/>
      <c r="I26" s="8"/>
      <c r="J26" s="8"/>
      <c r="K26" s="8"/>
      <c r="L26" s="8"/>
      <c r="M26" s="8"/>
      <c r="N26" s="8"/>
      <c r="O26" s="8"/>
      <c r="P26" s="9"/>
    </row>
    <row r="27" spans="1:16" ht="15" customHeight="1">
      <c r="A27" s="7"/>
      <c r="B27" s="8"/>
      <c r="C27" s="8"/>
      <c r="D27" s="8"/>
      <c r="E27" s="8"/>
      <c r="F27" s="8"/>
      <c r="G27" s="8"/>
      <c r="H27" s="8"/>
      <c r="I27" s="8"/>
      <c r="J27" s="8"/>
      <c r="K27" s="8"/>
      <c r="L27" s="8"/>
      <c r="M27" s="8"/>
      <c r="N27" s="8"/>
      <c r="O27" s="8"/>
      <c r="P27" s="9"/>
    </row>
    <row r="28" spans="1:16" ht="15" customHeight="1">
      <c r="A28" s="7"/>
      <c r="B28" s="8"/>
      <c r="C28" s="8"/>
      <c r="D28" s="8"/>
      <c r="E28" s="8"/>
      <c r="F28" s="8"/>
      <c r="G28" s="8"/>
      <c r="H28" s="8"/>
      <c r="I28" s="8"/>
      <c r="J28" s="8"/>
      <c r="K28" s="8"/>
      <c r="L28" s="8"/>
      <c r="M28" s="8"/>
      <c r="N28" s="8"/>
      <c r="O28" s="8"/>
      <c r="P28" s="9"/>
    </row>
    <row r="29" spans="1:16" ht="15" customHeight="1">
      <c r="A29" s="7"/>
      <c r="B29" s="8"/>
      <c r="C29" s="8"/>
      <c r="D29" s="8"/>
      <c r="E29" s="8"/>
      <c r="F29" s="8"/>
      <c r="G29" s="8"/>
      <c r="H29" s="8"/>
      <c r="I29" s="8"/>
      <c r="J29" s="8"/>
      <c r="K29" s="8"/>
      <c r="L29" s="8"/>
      <c r="M29" s="8"/>
      <c r="N29" s="8"/>
      <c r="O29" s="8"/>
      <c r="P29" s="9"/>
    </row>
    <row r="30" spans="1:16" ht="15" customHeight="1">
      <c r="A30" s="7"/>
      <c r="B30" s="8"/>
      <c r="C30" s="8"/>
      <c r="D30" s="8"/>
      <c r="E30" s="8"/>
      <c r="F30" s="8"/>
      <c r="G30" s="8"/>
      <c r="H30" s="8"/>
      <c r="I30" s="8"/>
      <c r="J30" s="8"/>
      <c r="K30" s="8"/>
      <c r="L30" s="8"/>
      <c r="M30" s="8"/>
      <c r="N30" s="8"/>
      <c r="O30" s="8"/>
      <c r="P30" s="9"/>
    </row>
    <row r="31" spans="1:16" ht="15" customHeight="1">
      <c r="A31" s="7"/>
      <c r="B31" s="8"/>
      <c r="C31" s="8"/>
      <c r="D31" s="8"/>
      <c r="E31" s="8"/>
      <c r="F31" s="8"/>
      <c r="G31" s="8"/>
      <c r="H31" s="8"/>
      <c r="I31" s="8"/>
      <c r="J31" s="8"/>
      <c r="K31" s="8"/>
      <c r="L31" s="8"/>
      <c r="M31" s="8"/>
      <c r="N31" s="8"/>
      <c r="O31" s="8"/>
      <c r="P31" s="9"/>
    </row>
    <row r="32" spans="1:16" ht="15" customHeight="1">
      <c r="A32" s="7"/>
      <c r="B32" s="8"/>
      <c r="C32" s="8"/>
      <c r="D32" s="8"/>
      <c r="E32" s="8"/>
      <c r="F32" s="8"/>
      <c r="G32" s="8"/>
      <c r="H32" s="8"/>
      <c r="I32" s="8"/>
      <c r="J32" s="8"/>
      <c r="K32" s="8"/>
      <c r="L32" s="8"/>
      <c r="M32" s="8"/>
      <c r="N32" s="8"/>
      <c r="O32" s="8"/>
      <c r="P32" s="9"/>
    </row>
    <row r="33" spans="1:16" ht="15" customHeight="1">
      <c r="A33" s="7"/>
      <c r="B33" s="8"/>
      <c r="C33" s="8"/>
      <c r="D33" s="8"/>
      <c r="E33" s="8"/>
      <c r="F33" s="8"/>
      <c r="G33" s="8"/>
      <c r="H33" s="8"/>
      <c r="I33" s="8"/>
      <c r="J33" s="8"/>
      <c r="K33" s="8"/>
      <c r="L33" s="8"/>
      <c r="M33" s="8"/>
      <c r="N33" s="8"/>
      <c r="O33" s="8"/>
      <c r="P33" s="9"/>
    </row>
    <row r="34" spans="1:16" ht="15" customHeight="1">
      <c r="A34" s="7"/>
      <c r="B34" s="8"/>
      <c r="C34" s="8"/>
      <c r="D34" s="8"/>
      <c r="E34" s="8"/>
      <c r="F34" s="8"/>
      <c r="G34" s="8"/>
      <c r="H34" s="8"/>
      <c r="I34" s="8"/>
      <c r="J34" s="8"/>
      <c r="K34" s="8"/>
      <c r="L34" s="8"/>
      <c r="M34" s="8"/>
      <c r="N34" s="8"/>
      <c r="O34" s="8"/>
      <c r="P34" s="9"/>
    </row>
    <row r="35" spans="1:16" ht="15" customHeight="1">
      <c r="A35" s="7"/>
      <c r="B35" s="8"/>
      <c r="C35" s="8"/>
      <c r="D35" s="8"/>
      <c r="E35" s="8"/>
      <c r="F35" s="8"/>
      <c r="G35" s="8"/>
      <c r="H35" s="8"/>
      <c r="I35" s="8"/>
      <c r="J35" s="8"/>
      <c r="K35" s="8"/>
      <c r="L35" s="8"/>
      <c r="M35" s="8"/>
      <c r="N35" s="8"/>
      <c r="O35" s="8"/>
      <c r="P35" s="9"/>
    </row>
    <row r="36" spans="1:16" ht="15" customHeight="1">
      <c r="A36" s="7"/>
      <c r="B36" s="8"/>
      <c r="C36" s="8"/>
      <c r="D36" s="8"/>
      <c r="E36" s="8"/>
      <c r="F36" s="8"/>
      <c r="G36" s="8"/>
      <c r="H36" s="8"/>
      <c r="I36" s="8"/>
      <c r="J36" s="8"/>
      <c r="K36" s="8"/>
      <c r="L36" s="8"/>
      <c r="M36" s="8"/>
      <c r="N36" s="8"/>
      <c r="O36" s="8"/>
      <c r="P36" s="9"/>
    </row>
    <row r="37" spans="1:16" ht="15" customHeight="1">
      <c r="A37" s="7"/>
      <c r="B37" s="8"/>
      <c r="C37" s="8"/>
      <c r="D37" s="8"/>
      <c r="E37" s="8"/>
      <c r="F37" s="8"/>
      <c r="G37" s="8"/>
      <c r="H37" s="8"/>
      <c r="I37" s="8"/>
      <c r="J37" s="8"/>
      <c r="K37" s="8"/>
      <c r="L37" s="8"/>
      <c r="M37" s="8"/>
      <c r="N37" s="8"/>
      <c r="O37" s="8"/>
      <c r="P37" s="9"/>
    </row>
    <row r="38" spans="1:16" ht="15" customHeight="1">
      <c r="A38" s="7"/>
      <c r="B38" s="8"/>
      <c r="C38" s="8"/>
      <c r="D38" s="8"/>
      <c r="E38" s="8"/>
      <c r="F38" s="8"/>
      <c r="G38" s="8"/>
      <c r="H38" s="8"/>
      <c r="I38" s="8"/>
      <c r="J38" s="8"/>
      <c r="K38" s="8"/>
      <c r="L38" s="8"/>
      <c r="M38" s="8"/>
      <c r="N38" s="8"/>
      <c r="O38" s="8"/>
      <c r="P38" s="9"/>
    </row>
    <row r="39" spans="1:16" ht="15" customHeight="1">
      <c r="A39" s="7"/>
      <c r="B39" s="8"/>
      <c r="C39" s="8"/>
      <c r="D39" s="8"/>
      <c r="E39" s="8"/>
      <c r="F39" s="8"/>
      <c r="G39" s="8"/>
      <c r="H39" s="8"/>
      <c r="I39" s="8"/>
      <c r="J39" s="8"/>
      <c r="K39" s="8"/>
      <c r="L39" s="8"/>
      <c r="M39" s="8"/>
      <c r="N39" s="8"/>
      <c r="O39" s="8"/>
      <c r="P39" s="9"/>
    </row>
    <row r="40" spans="1:16" ht="15" customHeight="1">
      <c r="A40" s="7"/>
      <c r="B40" s="8"/>
      <c r="C40" s="8"/>
      <c r="D40" s="8"/>
      <c r="E40" s="8"/>
      <c r="F40" s="8"/>
      <c r="G40" s="8"/>
      <c r="H40" s="8"/>
      <c r="I40" s="8"/>
      <c r="J40" s="8"/>
      <c r="K40" s="8"/>
      <c r="L40" s="8"/>
      <c r="M40" s="8"/>
      <c r="N40" s="8"/>
      <c r="O40" s="8"/>
      <c r="P40" s="9"/>
    </row>
    <row r="41" spans="1:16" ht="15" customHeight="1">
      <c r="A41" s="7"/>
      <c r="B41" s="8"/>
      <c r="C41" s="8"/>
      <c r="D41" s="8"/>
      <c r="E41" s="8"/>
      <c r="F41" s="8"/>
      <c r="G41" s="8"/>
      <c r="H41" s="8"/>
      <c r="I41" s="8"/>
      <c r="J41" s="8"/>
      <c r="K41" s="8"/>
      <c r="L41" s="8"/>
      <c r="M41" s="8"/>
      <c r="N41" s="8"/>
      <c r="O41" s="8"/>
      <c r="P41" s="9"/>
    </row>
    <row r="42" spans="1:16" ht="15" customHeight="1">
      <c r="A42" s="7"/>
      <c r="B42" s="8"/>
      <c r="C42" s="8"/>
      <c r="D42" s="8"/>
      <c r="E42" s="8"/>
      <c r="F42" s="8"/>
      <c r="G42" s="8"/>
      <c r="H42" s="8"/>
      <c r="I42" s="8"/>
      <c r="J42" s="8"/>
      <c r="K42" s="8"/>
      <c r="L42" s="8"/>
      <c r="M42" s="8"/>
      <c r="N42" s="8"/>
      <c r="O42" s="8"/>
      <c r="P42" s="9"/>
    </row>
    <row r="43" spans="1:16" ht="15" customHeight="1">
      <c r="A43" s="7"/>
      <c r="B43" s="8"/>
      <c r="C43" s="8"/>
      <c r="D43" s="8"/>
      <c r="E43" s="8"/>
      <c r="F43" s="8"/>
      <c r="G43" s="8"/>
      <c r="H43" s="8"/>
      <c r="I43" s="8"/>
      <c r="J43" s="8"/>
      <c r="K43" s="8"/>
      <c r="L43" s="8"/>
      <c r="M43" s="8"/>
      <c r="N43" s="8"/>
      <c r="O43" s="8"/>
      <c r="P43" s="9"/>
    </row>
    <row r="44" spans="1:16" ht="15" customHeight="1">
      <c r="A44" s="7"/>
      <c r="B44" s="8"/>
      <c r="C44" s="8"/>
      <c r="D44" s="8"/>
      <c r="E44" s="8"/>
      <c r="F44" s="8"/>
      <c r="G44" s="8"/>
      <c r="H44" s="8"/>
      <c r="I44" s="8"/>
      <c r="J44" s="8"/>
      <c r="K44" s="8"/>
      <c r="L44" s="8"/>
      <c r="M44" s="8"/>
      <c r="N44" s="8"/>
      <c r="O44" s="8"/>
      <c r="P44" s="9"/>
    </row>
    <row r="45" spans="1:16" ht="15" customHeight="1">
      <c r="A45" s="7"/>
      <c r="B45" s="8"/>
      <c r="C45" s="8"/>
      <c r="D45" s="8"/>
      <c r="E45" s="8"/>
      <c r="F45" s="8"/>
      <c r="G45" s="8"/>
      <c r="H45" s="8"/>
      <c r="I45" s="8"/>
      <c r="J45" s="8"/>
      <c r="K45" s="8"/>
      <c r="L45" s="8"/>
      <c r="M45" s="8"/>
      <c r="N45" s="8"/>
      <c r="O45" s="8"/>
      <c r="P45" s="9"/>
    </row>
    <row r="46" spans="1:16" ht="15" customHeight="1">
      <c r="A46" s="7"/>
      <c r="B46" s="8"/>
      <c r="C46" s="8"/>
      <c r="D46" s="8"/>
      <c r="E46" s="8"/>
      <c r="F46" s="8"/>
      <c r="G46" s="8"/>
      <c r="H46" s="8"/>
      <c r="I46" s="8"/>
      <c r="J46" s="8"/>
      <c r="K46" s="8"/>
      <c r="L46" s="8"/>
      <c r="M46" s="8"/>
      <c r="N46" s="8"/>
      <c r="O46" s="8"/>
      <c r="P46" s="9"/>
    </row>
    <row r="47" spans="1:16" ht="15" customHeight="1">
      <c r="A47" s="7"/>
      <c r="B47" s="8"/>
      <c r="C47" s="8"/>
      <c r="D47" s="8"/>
      <c r="E47" s="8"/>
      <c r="F47" s="8"/>
      <c r="G47" s="8"/>
      <c r="H47" s="8"/>
      <c r="I47" s="8"/>
      <c r="J47" s="8"/>
      <c r="K47" s="8"/>
      <c r="L47" s="8"/>
      <c r="M47" s="8"/>
      <c r="N47" s="8"/>
      <c r="O47" s="8"/>
      <c r="P47" s="9"/>
    </row>
    <row r="48" spans="1:16" ht="15" customHeight="1">
      <c r="A48" s="7"/>
      <c r="B48" s="8"/>
      <c r="C48" s="8"/>
      <c r="D48" s="8"/>
      <c r="E48" s="8"/>
      <c r="F48" s="8"/>
      <c r="G48" s="8"/>
      <c r="H48" s="8"/>
      <c r="I48" s="8"/>
      <c r="J48" s="8"/>
      <c r="K48" s="8"/>
      <c r="L48" s="8"/>
      <c r="M48" s="8"/>
      <c r="N48" s="8"/>
      <c r="O48" s="8"/>
      <c r="P48" s="9"/>
    </row>
    <row r="49" spans="1:16" ht="15" customHeight="1">
      <c r="A49" s="7"/>
      <c r="B49" s="8"/>
      <c r="C49" s="8"/>
      <c r="D49" s="8"/>
      <c r="E49" s="8"/>
      <c r="F49" s="8"/>
      <c r="G49" s="8"/>
      <c r="H49" s="8"/>
      <c r="I49" s="8"/>
      <c r="J49" s="8"/>
      <c r="K49" s="8"/>
      <c r="L49" s="8"/>
      <c r="M49" s="8"/>
      <c r="N49" s="8"/>
      <c r="O49" s="8"/>
      <c r="P49" s="9"/>
    </row>
    <row r="50" spans="1:16" ht="15" customHeight="1">
      <c r="A50" s="7"/>
      <c r="B50" s="8"/>
      <c r="C50" s="8"/>
      <c r="D50" s="8"/>
      <c r="E50" s="8"/>
      <c r="F50" s="8"/>
      <c r="G50" s="8"/>
      <c r="H50" s="8"/>
      <c r="I50" s="8"/>
      <c r="J50" s="8"/>
      <c r="K50" s="8"/>
      <c r="L50" s="8"/>
      <c r="M50" s="8"/>
      <c r="N50" s="8"/>
      <c r="O50" s="8"/>
      <c r="P50" s="9"/>
    </row>
    <row r="51" spans="1:16" ht="15" customHeight="1">
      <c r="A51" s="7"/>
      <c r="B51" s="8"/>
      <c r="C51" s="8"/>
      <c r="D51" s="8"/>
      <c r="E51" s="8"/>
      <c r="F51" s="8"/>
      <c r="G51" s="8"/>
      <c r="H51" s="8"/>
      <c r="I51" s="8"/>
      <c r="J51" s="8"/>
      <c r="K51" s="8"/>
      <c r="L51" s="8"/>
      <c r="M51" s="8"/>
      <c r="N51" s="8"/>
      <c r="O51" s="8"/>
      <c r="P51" s="9"/>
    </row>
    <row r="52" spans="1:16" ht="15" customHeight="1">
      <c r="A52" s="7"/>
      <c r="B52" s="8"/>
      <c r="C52" s="8"/>
      <c r="D52" s="8"/>
      <c r="E52" s="8"/>
      <c r="F52" s="8"/>
      <c r="G52" s="8"/>
      <c r="H52" s="8"/>
      <c r="I52" s="8"/>
      <c r="J52" s="8"/>
      <c r="K52" s="8"/>
      <c r="L52" s="8"/>
      <c r="M52" s="8"/>
      <c r="N52" s="8"/>
      <c r="O52" s="8"/>
      <c r="P52" s="9"/>
    </row>
    <row r="53" spans="1:16" ht="15" customHeight="1">
      <c r="A53" s="10"/>
      <c r="B53" s="11"/>
      <c r="C53" s="11"/>
      <c r="D53" s="11"/>
      <c r="E53" s="11"/>
      <c r="F53" s="11"/>
      <c r="G53" s="11"/>
      <c r="H53" s="11"/>
      <c r="I53" s="11"/>
      <c r="J53" s="11"/>
      <c r="K53" s="11"/>
      <c r="L53" s="11"/>
      <c r="M53" s="11"/>
      <c r="N53" s="11"/>
      <c r="O53" s="11"/>
      <c r="P53" s="12"/>
    </row>
  </sheetData>
  <mergeCells count="6">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3"/>
  <sheetViews>
    <sheetView showGridLines="0" topLeftCell="A18" workbookViewId="0">
      <selection activeCell="E40" sqref="E40"/>
    </sheetView>
  </sheetViews>
  <sheetFormatPr baseColWidth="10" defaultColWidth="11.453125" defaultRowHeight="15" customHeight="1"/>
  <cols>
    <col min="1" max="13" width="11.453125" style="1" customWidth="1"/>
    <col min="14" max="14" width="13.7265625" style="1" customWidth="1"/>
    <col min="15" max="17" width="11.453125" style="1" customWidth="1"/>
    <col min="18" max="16384" width="11.453125" style="1"/>
  </cols>
  <sheetData>
    <row r="1" spans="1:16" ht="40.4" customHeight="1">
      <c r="A1" s="428" t="s">
        <v>0</v>
      </c>
      <c r="B1" s="429"/>
      <c r="C1" s="430"/>
      <c r="D1" s="437" t="s">
        <v>1</v>
      </c>
      <c r="E1" s="438"/>
      <c r="F1" s="438"/>
      <c r="G1" s="438"/>
      <c r="H1" s="438"/>
      <c r="I1" s="438"/>
      <c r="J1" s="438"/>
      <c r="K1" s="438"/>
      <c r="L1" s="438"/>
      <c r="M1" s="438"/>
      <c r="N1" s="439" t="s">
        <v>2</v>
      </c>
      <c r="O1" s="440"/>
      <c r="P1" s="441"/>
    </row>
    <row r="2" spans="1:16" ht="29.5" customHeight="1">
      <c r="A2" s="431"/>
      <c r="B2" s="432"/>
      <c r="C2" s="433"/>
      <c r="D2" s="442" t="s">
        <v>3</v>
      </c>
      <c r="E2" s="443"/>
      <c r="F2" s="443"/>
      <c r="G2" s="443"/>
      <c r="H2" s="443"/>
      <c r="I2" s="443"/>
      <c r="J2" s="443"/>
      <c r="K2" s="443"/>
      <c r="L2" s="443"/>
      <c r="M2" s="443"/>
      <c r="N2" s="444" t="s">
        <v>4</v>
      </c>
      <c r="O2" s="445"/>
      <c r="P2" s="446"/>
    </row>
    <row r="3" spans="1:16" ht="29.5" customHeight="1">
      <c r="A3" s="434"/>
      <c r="B3" s="435"/>
      <c r="C3" s="436"/>
      <c r="D3" s="443"/>
      <c r="E3" s="443"/>
      <c r="F3" s="443"/>
      <c r="G3" s="443"/>
      <c r="H3" s="443"/>
      <c r="I3" s="443"/>
      <c r="J3" s="443"/>
      <c r="K3" s="443"/>
      <c r="L3" s="443"/>
      <c r="M3" s="443"/>
      <c r="N3" s="444" t="s">
        <v>5</v>
      </c>
      <c r="O3" s="445"/>
      <c r="P3" s="446"/>
    </row>
    <row r="4" spans="1:16" ht="15" customHeight="1">
      <c r="A4" s="4"/>
      <c r="B4" s="5"/>
      <c r="C4" s="5"/>
      <c r="D4" s="5"/>
      <c r="E4" s="5"/>
      <c r="F4" s="5"/>
      <c r="G4" s="5"/>
      <c r="H4" s="5"/>
      <c r="I4" s="5"/>
      <c r="J4" s="5"/>
      <c r="K4" s="5"/>
      <c r="L4" s="5"/>
      <c r="M4" s="5"/>
      <c r="N4" s="5"/>
      <c r="O4" s="5"/>
      <c r="P4" s="6"/>
    </row>
    <row r="5" spans="1:16" ht="15" customHeight="1">
      <c r="A5" s="7"/>
      <c r="B5" s="8"/>
      <c r="C5" s="8"/>
      <c r="D5" s="8"/>
      <c r="E5" s="8"/>
      <c r="F5" s="8"/>
      <c r="G5" s="8"/>
      <c r="H5" s="8"/>
      <c r="I5" s="8"/>
      <c r="J5" s="8"/>
      <c r="K5" s="8"/>
      <c r="L5" s="8"/>
      <c r="M5" s="8"/>
      <c r="N5" s="8"/>
      <c r="O5" s="8"/>
      <c r="P5" s="9"/>
    </row>
    <row r="6" spans="1:16" ht="20.25" customHeight="1">
      <c r="A6" s="7"/>
      <c r="B6" s="8"/>
      <c r="C6" s="13"/>
      <c r="D6" s="13"/>
      <c r="E6" s="13"/>
      <c r="F6" s="13"/>
      <c r="G6" s="472" t="s">
        <v>6</v>
      </c>
      <c r="H6" s="473"/>
      <c r="I6" s="473"/>
      <c r="J6" s="474"/>
      <c r="K6" s="13"/>
      <c r="L6" s="13"/>
      <c r="M6" s="13"/>
      <c r="N6" s="13"/>
      <c r="O6" s="8"/>
      <c r="P6" s="9"/>
    </row>
    <row r="7" spans="1:16" ht="20.25" customHeight="1">
      <c r="A7" s="7"/>
      <c r="B7" s="8"/>
      <c r="C7" s="14"/>
      <c r="D7" s="14"/>
      <c r="E7" s="14"/>
      <c r="F7" s="14"/>
      <c r="G7" s="14"/>
      <c r="H7" s="14"/>
      <c r="I7" s="14"/>
      <c r="J7" s="14"/>
      <c r="K7" s="14"/>
      <c r="L7" s="14"/>
      <c r="M7" s="14"/>
      <c r="N7" s="14"/>
      <c r="O7" s="8"/>
      <c r="P7" s="9"/>
    </row>
    <row r="8" spans="1:16" ht="14.5" customHeight="1">
      <c r="A8" s="7"/>
      <c r="B8" s="15"/>
      <c r="C8" s="475" t="s">
        <v>7</v>
      </c>
      <c r="D8" s="476"/>
      <c r="E8" s="479" t="s">
        <v>8</v>
      </c>
      <c r="F8" s="480"/>
      <c r="G8" s="480"/>
      <c r="H8" s="476"/>
      <c r="I8" s="479" t="s">
        <v>9</v>
      </c>
      <c r="J8" s="480"/>
      <c r="K8" s="480"/>
      <c r="L8" s="476"/>
      <c r="M8" s="483" t="s">
        <v>10</v>
      </c>
      <c r="N8" s="484"/>
      <c r="O8" s="16"/>
      <c r="P8" s="9"/>
    </row>
    <row r="9" spans="1:16" ht="27.65" customHeight="1">
      <c r="A9" s="7"/>
      <c r="B9" s="15"/>
      <c r="C9" s="477"/>
      <c r="D9" s="478"/>
      <c r="E9" s="481"/>
      <c r="F9" s="482"/>
      <c r="G9" s="482"/>
      <c r="H9" s="478"/>
      <c r="I9" s="481"/>
      <c r="J9" s="482"/>
      <c r="K9" s="482"/>
      <c r="L9" s="478"/>
      <c r="M9" s="485"/>
      <c r="N9" s="486"/>
      <c r="O9" s="16"/>
      <c r="P9" s="9"/>
    </row>
    <row r="10" spans="1:16" ht="21.65" customHeight="1">
      <c r="A10" s="7"/>
      <c r="B10" s="15"/>
      <c r="C10" s="463">
        <v>1</v>
      </c>
      <c r="D10" s="464"/>
      <c r="E10" s="465" t="s">
        <v>11</v>
      </c>
      <c r="F10" s="466"/>
      <c r="G10" s="466"/>
      <c r="H10" s="464"/>
      <c r="I10" s="467"/>
      <c r="J10" s="466"/>
      <c r="K10" s="466"/>
      <c r="L10" s="464"/>
      <c r="M10" s="465" t="s">
        <v>12</v>
      </c>
      <c r="N10" s="468"/>
      <c r="O10" s="16"/>
      <c r="P10" s="9"/>
    </row>
    <row r="11" spans="1:16" ht="15" customHeight="1">
      <c r="A11" s="7"/>
      <c r="B11" s="15"/>
      <c r="C11" s="450"/>
      <c r="D11" s="451"/>
      <c r="E11" s="454"/>
      <c r="F11" s="455"/>
      <c r="G11" s="455"/>
      <c r="H11" s="451"/>
      <c r="I11" s="454"/>
      <c r="J11" s="455"/>
      <c r="K11" s="455"/>
      <c r="L11" s="451"/>
      <c r="M11" s="454"/>
      <c r="N11" s="457"/>
      <c r="O11" s="16"/>
      <c r="P11" s="9"/>
    </row>
    <row r="12" spans="1:16" ht="15" customHeight="1">
      <c r="A12" s="7"/>
      <c r="B12" s="15"/>
      <c r="C12" s="448"/>
      <c r="D12" s="449"/>
      <c r="E12" s="452"/>
      <c r="F12" s="453"/>
      <c r="G12" s="453"/>
      <c r="H12" s="449"/>
      <c r="I12" s="452"/>
      <c r="J12" s="453"/>
      <c r="K12" s="453"/>
      <c r="L12" s="449"/>
      <c r="M12" s="452"/>
      <c r="N12" s="456"/>
      <c r="O12" s="16"/>
      <c r="P12" s="9"/>
    </row>
    <row r="13" spans="1:16" ht="15" customHeight="1">
      <c r="A13" s="7"/>
      <c r="B13" s="15"/>
      <c r="C13" s="450"/>
      <c r="D13" s="451"/>
      <c r="E13" s="454"/>
      <c r="F13" s="455"/>
      <c r="G13" s="455"/>
      <c r="H13" s="451"/>
      <c r="I13" s="454"/>
      <c r="J13" s="455"/>
      <c r="K13" s="455"/>
      <c r="L13" s="451"/>
      <c r="M13" s="454"/>
      <c r="N13" s="457"/>
      <c r="O13" s="16"/>
      <c r="P13" s="9"/>
    </row>
    <row r="14" spans="1:16" ht="15" customHeight="1">
      <c r="A14" s="7"/>
      <c r="B14" s="15"/>
      <c r="C14" s="471"/>
      <c r="D14" s="469"/>
      <c r="E14" s="469"/>
      <c r="F14" s="469"/>
      <c r="G14" s="469"/>
      <c r="H14" s="469"/>
      <c r="I14" s="469"/>
      <c r="J14" s="469"/>
      <c r="K14" s="469"/>
      <c r="L14" s="469"/>
      <c r="M14" s="469"/>
      <c r="N14" s="470"/>
      <c r="O14" s="16"/>
      <c r="P14" s="9"/>
    </row>
    <row r="15" spans="1:16" ht="15" customHeight="1">
      <c r="A15" s="7"/>
      <c r="B15" s="15"/>
      <c r="C15" s="471"/>
      <c r="D15" s="469"/>
      <c r="E15" s="469"/>
      <c r="F15" s="469"/>
      <c r="G15" s="469"/>
      <c r="H15" s="469"/>
      <c r="I15" s="469"/>
      <c r="J15" s="469"/>
      <c r="K15" s="469"/>
      <c r="L15" s="469"/>
      <c r="M15" s="469"/>
      <c r="N15" s="470"/>
      <c r="O15" s="16"/>
      <c r="P15" s="9"/>
    </row>
    <row r="16" spans="1:16" ht="15" customHeight="1">
      <c r="A16" s="7"/>
      <c r="B16" s="15"/>
      <c r="C16" s="448"/>
      <c r="D16" s="449"/>
      <c r="E16" s="452"/>
      <c r="F16" s="453"/>
      <c r="G16" s="453"/>
      <c r="H16" s="449"/>
      <c r="I16" s="452"/>
      <c r="J16" s="453"/>
      <c r="K16" s="453"/>
      <c r="L16" s="449"/>
      <c r="M16" s="452"/>
      <c r="N16" s="456"/>
      <c r="O16" s="16"/>
      <c r="P16" s="9"/>
    </row>
    <row r="17" spans="1:16" ht="15" customHeight="1">
      <c r="A17" s="7"/>
      <c r="B17" s="15"/>
      <c r="C17" s="450"/>
      <c r="D17" s="451"/>
      <c r="E17" s="454"/>
      <c r="F17" s="455"/>
      <c r="G17" s="455"/>
      <c r="H17" s="451"/>
      <c r="I17" s="454"/>
      <c r="J17" s="455"/>
      <c r="K17" s="455"/>
      <c r="L17" s="451"/>
      <c r="M17" s="454"/>
      <c r="N17" s="457"/>
      <c r="O17" s="16"/>
      <c r="P17" s="9"/>
    </row>
    <row r="18" spans="1:16" ht="15" customHeight="1">
      <c r="A18" s="7"/>
      <c r="B18" s="15"/>
      <c r="C18" s="448"/>
      <c r="D18" s="449"/>
      <c r="E18" s="452"/>
      <c r="F18" s="453"/>
      <c r="G18" s="453"/>
      <c r="H18" s="449"/>
      <c r="I18" s="452"/>
      <c r="J18" s="453"/>
      <c r="K18" s="453"/>
      <c r="L18" s="449"/>
      <c r="M18" s="452"/>
      <c r="N18" s="456"/>
      <c r="O18" s="16"/>
      <c r="P18" s="9"/>
    </row>
    <row r="19" spans="1:16" ht="15" customHeight="1">
      <c r="A19" s="7"/>
      <c r="B19" s="15"/>
      <c r="C19" s="450"/>
      <c r="D19" s="451"/>
      <c r="E19" s="454"/>
      <c r="F19" s="455"/>
      <c r="G19" s="455"/>
      <c r="H19" s="451"/>
      <c r="I19" s="454"/>
      <c r="J19" s="455"/>
      <c r="K19" s="455"/>
      <c r="L19" s="451"/>
      <c r="M19" s="454"/>
      <c r="N19" s="457"/>
      <c r="O19" s="16"/>
      <c r="P19" s="9"/>
    </row>
    <row r="20" spans="1:16" ht="15" customHeight="1">
      <c r="A20" s="7"/>
      <c r="B20" s="15"/>
      <c r="C20" s="448"/>
      <c r="D20" s="449"/>
      <c r="E20" s="452"/>
      <c r="F20" s="453"/>
      <c r="G20" s="453"/>
      <c r="H20" s="449"/>
      <c r="I20" s="452"/>
      <c r="J20" s="453"/>
      <c r="K20" s="453"/>
      <c r="L20" s="449"/>
      <c r="M20" s="452"/>
      <c r="N20" s="456"/>
      <c r="O20" s="16"/>
      <c r="P20" s="9"/>
    </row>
    <row r="21" spans="1:16" ht="15" customHeight="1">
      <c r="A21" s="7"/>
      <c r="B21" s="15"/>
      <c r="C21" s="450"/>
      <c r="D21" s="451"/>
      <c r="E21" s="454"/>
      <c r="F21" s="455"/>
      <c r="G21" s="455"/>
      <c r="H21" s="451"/>
      <c r="I21" s="454"/>
      <c r="J21" s="455"/>
      <c r="K21" s="455"/>
      <c r="L21" s="451"/>
      <c r="M21" s="454"/>
      <c r="N21" s="457"/>
      <c r="O21" s="16"/>
      <c r="P21" s="9"/>
    </row>
    <row r="22" spans="1:16" ht="15" customHeight="1">
      <c r="A22" s="7"/>
      <c r="B22" s="15"/>
      <c r="C22" s="448"/>
      <c r="D22" s="449"/>
      <c r="E22" s="452"/>
      <c r="F22" s="453"/>
      <c r="G22" s="453"/>
      <c r="H22" s="449"/>
      <c r="I22" s="452"/>
      <c r="J22" s="453"/>
      <c r="K22" s="453"/>
      <c r="L22" s="449"/>
      <c r="M22" s="452"/>
      <c r="N22" s="456"/>
      <c r="O22" s="16"/>
      <c r="P22" s="9"/>
    </row>
    <row r="23" spans="1:16" ht="15.75" customHeight="1">
      <c r="A23" s="7"/>
      <c r="B23" s="15"/>
      <c r="C23" s="458"/>
      <c r="D23" s="459"/>
      <c r="E23" s="460"/>
      <c r="F23" s="461"/>
      <c r="G23" s="461"/>
      <c r="H23" s="459"/>
      <c r="I23" s="460"/>
      <c r="J23" s="461"/>
      <c r="K23" s="461"/>
      <c r="L23" s="459"/>
      <c r="M23" s="460"/>
      <c r="N23" s="462"/>
      <c r="O23" s="16"/>
      <c r="P23" s="9"/>
    </row>
    <row r="24" spans="1:16" ht="15" customHeight="1">
      <c r="A24" s="7"/>
      <c r="B24" s="8"/>
      <c r="C24" s="17"/>
      <c r="D24" s="17"/>
      <c r="E24" s="17"/>
      <c r="F24" s="17"/>
      <c r="G24" s="17"/>
      <c r="H24" s="17"/>
      <c r="I24" s="17"/>
      <c r="J24" s="17"/>
      <c r="K24" s="17"/>
      <c r="L24" s="17"/>
      <c r="M24" s="17"/>
      <c r="N24" s="17"/>
      <c r="O24" s="8"/>
      <c r="P24" s="9"/>
    </row>
    <row r="25" spans="1:16" ht="15" customHeight="1">
      <c r="A25" s="7"/>
      <c r="B25" s="8"/>
      <c r="C25" s="18"/>
      <c r="D25" s="18"/>
      <c r="E25" s="18"/>
      <c r="F25" s="18"/>
      <c r="G25" s="18"/>
      <c r="H25" s="18"/>
      <c r="I25" s="18"/>
      <c r="J25" s="18"/>
      <c r="K25" s="18"/>
      <c r="L25" s="18"/>
      <c r="M25" s="18"/>
      <c r="N25" s="18"/>
      <c r="O25" s="8"/>
      <c r="P25" s="9"/>
    </row>
    <row r="26" spans="1:16" ht="15" customHeight="1">
      <c r="A26" s="7"/>
      <c r="B26" s="8"/>
      <c r="C26" s="18"/>
      <c r="D26" s="18"/>
      <c r="E26" s="18"/>
      <c r="F26" s="18"/>
      <c r="G26" s="18"/>
      <c r="H26" s="18"/>
      <c r="I26" s="18"/>
      <c r="J26" s="18"/>
      <c r="K26" s="18"/>
      <c r="L26" s="18"/>
      <c r="M26" s="18"/>
      <c r="N26" s="18"/>
      <c r="O26" s="8"/>
      <c r="P26" s="9"/>
    </row>
    <row r="27" spans="1:16" ht="15" customHeight="1">
      <c r="A27" s="7"/>
      <c r="B27" s="8"/>
      <c r="C27" s="18"/>
      <c r="D27" s="18"/>
      <c r="E27" s="18"/>
      <c r="F27" s="18"/>
      <c r="G27" s="18"/>
      <c r="H27" s="18"/>
      <c r="I27" s="18"/>
      <c r="J27" s="18"/>
      <c r="K27" s="18"/>
      <c r="L27" s="18"/>
      <c r="M27" s="18"/>
      <c r="N27" s="18"/>
      <c r="O27" s="8"/>
      <c r="P27" s="9"/>
    </row>
    <row r="28" spans="1:16" ht="15" customHeight="1">
      <c r="A28" s="7"/>
      <c r="B28" s="8"/>
      <c r="C28" s="18"/>
      <c r="D28" s="18"/>
      <c r="E28" s="18"/>
      <c r="F28" s="18"/>
      <c r="G28" s="18"/>
      <c r="H28" s="18"/>
      <c r="I28" s="18"/>
      <c r="J28" s="18"/>
      <c r="K28" s="18"/>
      <c r="L28" s="18"/>
      <c r="M28" s="18"/>
      <c r="N28" s="18"/>
      <c r="O28" s="8"/>
      <c r="P28" s="9"/>
    </row>
    <row r="29" spans="1:16" ht="15" customHeight="1">
      <c r="A29" s="7"/>
      <c r="B29" s="8"/>
      <c r="C29" s="18"/>
      <c r="D29" s="18"/>
      <c r="E29" s="18"/>
      <c r="F29" s="18"/>
      <c r="G29" s="18"/>
      <c r="H29" s="18"/>
      <c r="I29" s="18"/>
      <c r="J29" s="18"/>
      <c r="K29" s="18"/>
      <c r="L29" s="18"/>
      <c r="M29" s="18"/>
      <c r="N29" s="18"/>
      <c r="O29" s="8"/>
      <c r="P29" s="9"/>
    </row>
    <row r="30" spans="1:16" ht="15" customHeight="1">
      <c r="A30" s="7"/>
      <c r="B30" s="8"/>
      <c r="C30" s="18"/>
      <c r="D30" s="18"/>
      <c r="E30" s="18"/>
      <c r="F30" s="18"/>
      <c r="G30" s="18"/>
      <c r="H30" s="18"/>
      <c r="I30" s="18"/>
      <c r="J30" s="18"/>
      <c r="K30" s="18"/>
      <c r="L30" s="18"/>
      <c r="M30" s="18"/>
      <c r="N30" s="18"/>
      <c r="O30" s="8"/>
      <c r="P30" s="9"/>
    </row>
    <row r="31" spans="1:16" ht="15" customHeight="1">
      <c r="A31" s="7"/>
      <c r="B31" s="8"/>
      <c r="C31" s="18"/>
      <c r="D31" s="18"/>
      <c r="E31" s="18"/>
      <c r="F31" s="18"/>
      <c r="G31" s="18"/>
      <c r="H31" s="18"/>
      <c r="I31" s="18"/>
      <c r="J31" s="18"/>
      <c r="K31" s="18"/>
      <c r="L31" s="18"/>
      <c r="M31" s="18"/>
      <c r="N31" s="18"/>
      <c r="O31" s="8"/>
      <c r="P31" s="9"/>
    </row>
    <row r="32" spans="1:16" ht="15" customHeight="1">
      <c r="A32" s="7"/>
      <c r="B32" s="8"/>
      <c r="C32" s="18"/>
      <c r="D32" s="18"/>
      <c r="E32" s="18"/>
      <c r="F32" s="18"/>
      <c r="G32" s="18"/>
      <c r="H32" s="18"/>
      <c r="I32" s="18"/>
      <c r="J32" s="18"/>
      <c r="K32" s="18"/>
      <c r="L32" s="18"/>
      <c r="M32" s="18"/>
      <c r="N32" s="18"/>
      <c r="O32" s="8"/>
      <c r="P32" s="9"/>
    </row>
    <row r="33" spans="1:16" ht="15" customHeight="1">
      <c r="A33" s="7"/>
      <c r="B33" s="8"/>
      <c r="C33" s="18"/>
      <c r="D33" s="18"/>
      <c r="E33" s="18"/>
      <c r="F33" s="18"/>
      <c r="G33" s="18"/>
      <c r="H33" s="18"/>
      <c r="I33" s="18"/>
      <c r="J33" s="18"/>
      <c r="K33" s="18"/>
      <c r="L33" s="18"/>
      <c r="M33" s="18"/>
      <c r="N33" s="18"/>
      <c r="O33" s="8"/>
      <c r="P33" s="9"/>
    </row>
    <row r="34" spans="1:16" ht="15" customHeight="1">
      <c r="A34" s="7"/>
      <c r="B34" s="8"/>
      <c r="C34" s="18"/>
      <c r="D34" s="18"/>
      <c r="E34" s="18"/>
      <c r="F34" s="18"/>
      <c r="G34" s="18"/>
      <c r="H34" s="18"/>
      <c r="I34" s="18"/>
      <c r="J34" s="18"/>
      <c r="K34" s="18"/>
      <c r="L34" s="18"/>
      <c r="M34" s="18"/>
      <c r="N34" s="18"/>
      <c r="O34" s="8"/>
      <c r="P34" s="9"/>
    </row>
    <row r="35" spans="1:16" ht="15" customHeight="1">
      <c r="A35" s="7"/>
      <c r="B35" s="8"/>
      <c r="C35" s="18"/>
      <c r="D35" s="18"/>
      <c r="E35" s="18"/>
      <c r="F35" s="18"/>
      <c r="G35" s="18"/>
      <c r="H35" s="18"/>
      <c r="I35" s="18"/>
      <c r="J35" s="18"/>
      <c r="K35" s="18"/>
      <c r="L35" s="18"/>
      <c r="M35" s="18"/>
      <c r="N35" s="18"/>
      <c r="O35" s="8"/>
      <c r="P35" s="9"/>
    </row>
    <row r="36" spans="1:16" ht="15" customHeight="1">
      <c r="A36" s="7"/>
      <c r="B36" s="8"/>
      <c r="C36" s="18"/>
      <c r="D36" s="18"/>
      <c r="E36" s="18"/>
      <c r="F36" s="18"/>
      <c r="G36" s="18"/>
      <c r="H36" s="18"/>
      <c r="I36" s="18"/>
      <c r="J36" s="18"/>
      <c r="K36" s="18"/>
      <c r="L36" s="18"/>
      <c r="M36" s="18"/>
      <c r="N36" s="18"/>
      <c r="O36" s="8"/>
      <c r="P36" s="9"/>
    </row>
    <row r="37" spans="1:16" ht="15" customHeight="1">
      <c r="A37" s="7"/>
      <c r="B37" s="8"/>
      <c r="C37" s="18"/>
      <c r="D37" s="18"/>
      <c r="E37" s="18"/>
      <c r="F37" s="18"/>
      <c r="G37" s="18"/>
      <c r="H37" s="18"/>
      <c r="I37" s="18"/>
      <c r="J37" s="18"/>
      <c r="K37" s="18"/>
      <c r="L37" s="18"/>
      <c r="M37" s="18"/>
      <c r="N37" s="18"/>
      <c r="O37" s="8"/>
      <c r="P37" s="9"/>
    </row>
    <row r="38" spans="1:16" ht="15" customHeight="1">
      <c r="A38" s="7"/>
      <c r="B38" s="8"/>
      <c r="C38" s="18"/>
      <c r="D38" s="18"/>
      <c r="E38" s="18"/>
      <c r="F38" s="18"/>
      <c r="G38" s="18"/>
      <c r="H38" s="18"/>
      <c r="I38" s="18"/>
      <c r="J38" s="18"/>
      <c r="K38" s="18"/>
      <c r="L38" s="18"/>
      <c r="M38" s="18"/>
      <c r="N38" s="18"/>
      <c r="O38" s="8"/>
      <c r="P38" s="9"/>
    </row>
    <row r="39" spans="1:16" ht="15" customHeight="1">
      <c r="A39" s="7"/>
      <c r="B39" s="8"/>
      <c r="C39" s="18"/>
      <c r="D39" s="18"/>
      <c r="E39" s="18"/>
      <c r="F39" s="18"/>
      <c r="G39" s="18"/>
      <c r="H39" s="18"/>
      <c r="I39" s="18"/>
      <c r="J39" s="18"/>
      <c r="K39" s="18"/>
      <c r="L39" s="18"/>
      <c r="M39" s="18"/>
      <c r="N39" s="18"/>
      <c r="O39" s="8"/>
      <c r="P39" s="9"/>
    </row>
    <row r="40" spans="1:16" ht="15" customHeight="1">
      <c r="A40" s="7"/>
      <c r="B40" s="8"/>
      <c r="C40" s="18"/>
      <c r="D40" s="18"/>
      <c r="E40" s="18"/>
      <c r="F40" s="18"/>
      <c r="G40" s="18"/>
      <c r="H40" s="18"/>
      <c r="I40" s="18"/>
      <c r="J40" s="18"/>
      <c r="K40" s="18"/>
      <c r="L40" s="18"/>
      <c r="M40" s="18"/>
      <c r="N40" s="18"/>
      <c r="O40" s="8"/>
      <c r="P40" s="9"/>
    </row>
    <row r="41" spans="1:16" ht="15" customHeight="1">
      <c r="A41" s="7"/>
      <c r="B41" s="8"/>
      <c r="C41" s="18"/>
      <c r="D41" s="18"/>
      <c r="E41" s="18"/>
      <c r="F41" s="18"/>
      <c r="G41" s="18"/>
      <c r="H41" s="18"/>
      <c r="I41" s="18"/>
      <c r="J41" s="18"/>
      <c r="K41" s="18"/>
      <c r="L41" s="18"/>
      <c r="M41" s="18"/>
      <c r="N41" s="18"/>
      <c r="O41" s="8"/>
      <c r="P41" s="9"/>
    </row>
    <row r="42" spans="1:16" ht="15" customHeight="1">
      <c r="A42" s="7"/>
      <c r="B42" s="8"/>
      <c r="C42" s="18"/>
      <c r="D42" s="18"/>
      <c r="E42" s="18"/>
      <c r="F42" s="18"/>
      <c r="G42" s="18"/>
      <c r="H42" s="18"/>
      <c r="I42" s="18"/>
      <c r="J42" s="18"/>
      <c r="K42" s="18"/>
      <c r="L42" s="18"/>
      <c r="M42" s="18"/>
      <c r="N42" s="18"/>
      <c r="O42" s="8"/>
      <c r="P42" s="9"/>
    </row>
    <row r="43" spans="1:16" ht="15" customHeight="1">
      <c r="A43" s="10"/>
      <c r="B43" s="11"/>
      <c r="C43" s="19"/>
      <c r="D43" s="19"/>
      <c r="E43" s="19"/>
      <c r="F43" s="19"/>
      <c r="G43" s="19"/>
      <c r="H43" s="19"/>
      <c r="I43" s="19"/>
      <c r="J43" s="19"/>
      <c r="K43" s="19"/>
      <c r="L43" s="19"/>
      <c r="M43" s="19"/>
      <c r="N43" s="19"/>
      <c r="O43" s="11"/>
      <c r="P43" s="12"/>
    </row>
  </sheetData>
  <mergeCells count="39">
    <mergeCell ref="D1:M1"/>
    <mergeCell ref="D2:M3"/>
    <mergeCell ref="G6:J6"/>
    <mergeCell ref="C8:D9"/>
    <mergeCell ref="N1:P1"/>
    <mergeCell ref="N2:P2"/>
    <mergeCell ref="N3:P3"/>
    <mergeCell ref="A1:C3"/>
    <mergeCell ref="E8:H9"/>
    <mergeCell ref="I8:L9"/>
    <mergeCell ref="M8:N9"/>
    <mergeCell ref="C10:D11"/>
    <mergeCell ref="E10:H11"/>
    <mergeCell ref="I10:L11"/>
    <mergeCell ref="M10:N11"/>
    <mergeCell ref="E14:H15"/>
    <mergeCell ref="I14:L15"/>
    <mergeCell ref="M14:N15"/>
    <mergeCell ref="C12:D13"/>
    <mergeCell ref="E12:H13"/>
    <mergeCell ref="I12:L13"/>
    <mergeCell ref="M12:N13"/>
    <mergeCell ref="C14:D15"/>
    <mergeCell ref="C16:D17"/>
    <mergeCell ref="E16:H17"/>
    <mergeCell ref="I16:L17"/>
    <mergeCell ref="M16:N17"/>
    <mergeCell ref="C22:D23"/>
    <mergeCell ref="E22:H23"/>
    <mergeCell ref="I22:L23"/>
    <mergeCell ref="M22:N23"/>
    <mergeCell ref="C18:D19"/>
    <mergeCell ref="E18:H19"/>
    <mergeCell ref="I18:L19"/>
    <mergeCell ref="M18:N19"/>
    <mergeCell ref="C20:D21"/>
    <mergeCell ref="E20:H21"/>
    <mergeCell ref="I20:L21"/>
    <mergeCell ref="M20:N21"/>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1"/>
  <sheetViews>
    <sheetView showGridLines="0" topLeftCell="A41" workbookViewId="0">
      <selection activeCell="A41" sqref="A41"/>
    </sheetView>
  </sheetViews>
  <sheetFormatPr baseColWidth="10" defaultColWidth="11.453125" defaultRowHeight="15" customHeight="1"/>
  <cols>
    <col min="1" max="17" width="11.453125" style="1" customWidth="1"/>
    <col min="18" max="16384" width="11.453125" style="1"/>
  </cols>
  <sheetData>
    <row r="1" spans="1:16" ht="20.25" customHeight="1">
      <c r="A1" s="487" t="s">
        <v>0</v>
      </c>
      <c r="B1" s="488"/>
      <c r="C1" s="489"/>
      <c r="D1" s="437" t="s">
        <v>1</v>
      </c>
      <c r="E1" s="438"/>
      <c r="F1" s="438"/>
      <c r="G1" s="438"/>
      <c r="H1" s="438"/>
      <c r="I1" s="438"/>
      <c r="J1" s="438"/>
      <c r="K1" s="438"/>
      <c r="L1" s="438"/>
      <c r="M1" s="438"/>
      <c r="N1" s="439" t="s">
        <v>2</v>
      </c>
      <c r="O1" s="440"/>
      <c r="P1" s="441"/>
    </row>
    <row r="2" spans="1:16" ht="19.5" customHeight="1">
      <c r="A2" s="490"/>
      <c r="B2" s="491"/>
      <c r="C2" s="492"/>
      <c r="D2" s="442" t="s">
        <v>3</v>
      </c>
      <c r="E2" s="443"/>
      <c r="F2" s="443"/>
      <c r="G2" s="443"/>
      <c r="H2" s="443"/>
      <c r="I2" s="443"/>
      <c r="J2" s="443"/>
      <c r="K2" s="443"/>
      <c r="L2" s="443"/>
      <c r="M2" s="443"/>
      <c r="N2" s="444" t="s">
        <v>4</v>
      </c>
      <c r="O2" s="445"/>
      <c r="P2" s="446"/>
    </row>
    <row r="3" spans="1:16" ht="63.25" customHeight="1">
      <c r="A3" s="493"/>
      <c r="B3" s="494"/>
      <c r="C3" s="495"/>
      <c r="D3" s="443"/>
      <c r="E3" s="443"/>
      <c r="F3" s="443"/>
      <c r="G3" s="443"/>
      <c r="H3" s="443"/>
      <c r="I3" s="443"/>
      <c r="J3" s="443"/>
      <c r="K3" s="443"/>
      <c r="L3" s="443"/>
      <c r="M3" s="443"/>
      <c r="N3" s="447" t="s">
        <v>5</v>
      </c>
      <c r="O3" s="445"/>
      <c r="P3" s="446"/>
    </row>
    <row r="4" spans="1:16" ht="20.25" customHeight="1">
      <c r="A4" s="20"/>
      <c r="B4" s="2"/>
      <c r="C4" s="2"/>
      <c r="D4" s="21"/>
      <c r="E4" s="21"/>
      <c r="F4" s="21"/>
      <c r="G4" s="21"/>
      <c r="H4" s="21"/>
      <c r="I4" s="21"/>
      <c r="J4" s="21"/>
      <c r="K4" s="21"/>
      <c r="L4" s="21"/>
      <c r="M4" s="21"/>
      <c r="N4" s="22"/>
      <c r="O4" s="22"/>
      <c r="P4" s="23"/>
    </row>
    <row r="5" spans="1:16" ht="15" customHeight="1">
      <c r="A5" s="7"/>
      <c r="B5" s="8"/>
      <c r="C5" s="8"/>
      <c r="D5" s="8"/>
      <c r="E5" s="8"/>
      <c r="F5" s="8"/>
      <c r="G5" s="8"/>
      <c r="H5" s="8"/>
      <c r="I5" s="8"/>
      <c r="J5" s="8"/>
      <c r="K5" s="8"/>
      <c r="L5" s="8"/>
      <c r="M5" s="8"/>
      <c r="N5" s="8"/>
      <c r="O5" s="8"/>
      <c r="P5" s="9"/>
    </row>
    <row r="6" spans="1:16" ht="15" customHeight="1">
      <c r="A6" s="7"/>
      <c r="B6" s="8"/>
      <c r="C6" s="8"/>
      <c r="D6" s="8"/>
      <c r="E6" s="8"/>
      <c r="F6" s="8"/>
      <c r="G6" s="8"/>
      <c r="H6" s="8"/>
      <c r="I6" s="8"/>
      <c r="J6" s="8"/>
      <c r="K6" s="8"/>
      <c r="L6" s="8"/>
      <c r="M6" s="8"/>
      <c r="N6" s="8"/>
      <c r="O6" s="8"/>
      <c r="P6" s="9"/>
    </row>
    <row r="7" spans="1:16" ht="15" customHeight="1">
      <c r="A7" s="7"/>
      <c r="B7" s="8"/>
      <c r="C7" s="8"/>
      <c r="D7" s="8"/>
      <c r="E7" s="8"/>
      <c r="F7" s="8"/>
      <c r="G7" s="8"/>
      <c r="H7" s="8"/>
      <c r="I7" s="8"/>
      <c r="J7" s="8"/>
      <c r="K7" s="8"/>
      <c r="L7" s="8"/>
      <c r="M7" s="8"/>
      <c r="N7" s="8"/>
      <c r="O7" s="8"/>
      <c r="P7" s="9"/>
    </row>
    <row r="8" spans="1:16" ht="15" customHeight="1">
      <c r="A8" s="7"/>
      <c r="B8" s="8"/>
      <c r="C8" s="8"/>
      <c r="D8" s="8"/>
      <c r="E8" s="8"/>
      <c r="F8" s="8"/>
      <c r="G8" s="8"/>
      <c r="H8" s="8"/>
      <c r="I8" s="8"/>
      <c r="J8" s="8"/>
      <c r="K8" s="8"/>
      <c r="L8" s="8"/>
      <c r="M8" s="8"/>
      <c r="N8" s="8"/>
      <c r="O8" s="8"/>
      <c r="P8" s="9"/>
    </row>
    <row r="9" spans="1:16" ht="15" customHeight="1">
      <c r="A9" s="7"/>
      <c r="B9" s="8"/>
      <c r="C9" s="8"/>
      <c r="D9" s="8"/>
      <c r="E9" s="8"/>
      <c r="F9" s="8"/>
      <c r="G9" s="8"/>
      <c r="H9" s="8"/>
      <c r="I9" s="8"/>
      <c r="J9" s="8"/>
      <c r="K9" s="8"/>
      <c r="L9" s="8"/>
      <c r="M9" s="8"/>
      <c r="N9" s="8"/>
      <c r="O9" s="8"/>
      <c r="P9" s="9"/>
    </row>
    <row r="10" spans="1:16" ht="15" customHeight="1">
      <c r="A10" s="7"/>
      <c r="B10" s="8"/>
      <c r="C10" s="8"/>
      <c r="D10" s="8"/>
      <c r="E10" s="8"/>
      <c r="F10" s="8"/>
      <c r="G10" s="8"/>
      <c r="H10" s="8"/>
      <c r="I10" s="8"/>
      <c r="J10" s="8"/>
      <c r="K10" s="8"/>
      <c r="L10" s="8"/>
      <c r="M10" s="8"/>
      <c r="N10" s="8"/>
      <c r="O10" s="8"/>
      <c r="P10" s="9"/>
    </row>
    <row r="11" spans="1:16" ht="15" customHeight="1">
      <c r="A11" s="7"/>
      <c r="B11" s="8"/>
      <c r="C11" s="8"/>
      <c r="D11" s="8"/>
      <c r="E11" s="8"/>
      <c r="F11" s="8"/>
      <c r="G11" s="8"/>
      <c r="H11" s="8"/>
      <c r="I11" s="8"/>
      <c r="J11" s="8"/>
      <c r="K11" s="8"/>
      <c r="L11" s="8"/>
      <c r="M11" s="8"/>
      <c r="N11" s="8"/>
      <c r="O11" s="8"/>
      <c r="P11" s="9"/>
    </row>
    <row r="12" spans="1:16" ht="15" customHeight="1">
      <c r="A12" s="7"/>
      <c r="B12" s="8"/>
      <c r="C12" s="8"/>
      <c r="D12" s="8"/>
      <c r="E12" s="8"/>
      <c r="F12" s="8"/>
      <c r="G12" s="8"/>
      <c r="H12" s="8"/>
      <c r="I12" s="8"/>
      <c r="J12" s="8"/>
      <c r="K12" s="8"/>
      <c r="L12" s="8"/>
      <c r="M12" s="8"/>
      <c r="N12" s="8"/>
      <c r="O12" s="8"/>
      <c r="P12" s="9"/>
    </row>
    <row r="13" spans="1:16" ht="15" customHeight="1">
      <c r="A13" s="7"/>
      <c r="B13" s="8"/>
      <c r="C13" s="8"/>
      <c r="D13" s="8"/>
      <c r="E13" s="8"/>
      <c r="F13" s="8"/>
      <c r="G13" s="8"/>
      <c r="H13" s="8"/>
      <c r="I13" s="8"/>
      <c r="J13" s="8"/>
      <c r="K13" s="8"/>
      <c r="L13" s="8"/>
      <c r="M13" s="8"/>
      <c r="N13" s="8"/>
      <c r="O13" s="8"/>
      <c r="P13" s="9"/>
    </row>
    <row r="14" spans="1:16" ht="15" customHeight="1">
      <c r="A14" s="7"/>
      <c r="B14" s="8"/>
      <c r="C14" s="8"/>
      <c r="D14" s="8"/>
      <c r="E14" s="8"/>
      <c r="F14" s="8"/>
      <c r="G14" s="8"/>
      <c r="H14" s="8"/>
      <c r="I14" s="8"/>
      <c r="J14" s="8"/>
      <c r="K14" s="8"/>
      <c r="L14" s="8"/>
      <c r="M14" s="8"/>
      <c r="N14" s="8"/>
      <c r="O14" s="8"/>
      <c r="P14" s="9"/>
    </row>
    <row r="15" spans="1:16" ht="15" customHeight="1">
      <c r="A15" s="7"/>
      <c r="B15" s="8"/>
      <c r="C15" s="8"/>
      <c r="D15" s="8"/>
      <c r="E15" s="8"/>
      <c r="F15" s="8"/>
      <c r="G15" s="8"/>
      <c r="H15" s="8"/>
      <c r="I15" s="8"/>
      <c r="J15" s="8"/>
      <c r="K15" s="8"/>
      <c r="L15" s="8"/>
      <c r="M15" s="8"/>
      <c r="N15" s="8"/>
      <c r="O15" s="8"/>
      <c r="P15" s="9"/>
    </row>
    <row r="16" spans="1:16" ht="15" customHeight="1">
      <c r="A16" s="7"/>
      <c r="B16" s="8"/>
      <c r="C16" s="8"/>
      <c r="D16" s="8"/>
      <c r="E16" s="8"/>
      <c r="F16" s="8"/>
      <c r="G16" s="8"/>
      <c r="H16" s="8"/>
      <c r="I16" s="8"/>
      <c r="J16" s="8"/>
      <c r="K16" s="8"/>
      <c r="L16" s="8"/>
      <c r="M16" s="8"/>
      <c r="N16" s="8"/>
      <c r="O16" s="8"/>
      <c r="P16" s="9"/>
    </row>
    <row r="17" spans="1:16" ht="15" customHeight="1">
      <c r="A17" s="7"/>
      <c r="B17" s="8"/>
      <c r="C17" s="8"/>
      <c r="D17" s="8"/>
      <c r="E17" s="8"/>
      <c r="F17" s="8"/>
      <c r="G17" s="8"/>
      <c r="H17" s="8"/>
      <c r="I17" s="8"/>
      <c r="J17" s="8"/>
      <c r="K17" s="8"/>
      <c r="L17" s="8"/>
      <c r="M17" s="8"/>
      <c r="N17" s="8"/>
      <c r="O17" s="8"/>
      <c r="P17" s="9"/>
    </row>
    <row r="18" spans="1:16" ht="15" customHeight="1">
      <c r="A18" s="7"/>
      <c r="B18" s="8"/>
      <c r="C18" s="8"/>
      <c r="D18" s="8"/>
      <c r="E18" s="8"/>
      <c r="F18" s="8"/>
      <c r="G18" s="8"/>
      <c r="H18" s="8"/>
      <c r="I18" s="8"/>
      <c r="J18" s="8"/>
      <c r="K18" s="8"/>
      <c r="L18" s="8"/>
      <c r="M18" s="8"/>
      <c r="N18" s="8"/>
      <c r="O18" s="8"/>
      <c r="P18" s="9"/>
    </row>
    <row r="19" spans="1:16" ht="15" customHeight="1">
      <c r="A19" s="7"/>
      <c r="B19" s="8"/>
      <c r="C19" s="8"/>
      <c r="D19" s="8"/>
      <c r="E19" s="8"/>
      <c r="F19" s="8"/>
      <c r="G19" s="8"/>
      <c r="H19" s="8"/>
      <c r="I19" s="8"/>
      <c r="J19" s="8"/>
      <c r="K19" s="8"/>
      <c r="L19" s="8"/>
      <c r="M19" s="8"/>
      <c r="N19" s="8"/>
      <c r="O19" s="8"/>
      <c r="P19" s="9"/>
    </row>
    <row r="20" spans="1:16" ht="15" customHeight="1">
      <c r="A20" s="7"/>
      <c r="B20" s="8"/>
      <c r="C20" s="8"/>
      <c r="D20" s="8"/>
      <c r="E20" s="8"/>
      <c r="F20" s="8"/>
      <c r="G20" s="8"/>
      <c r="H20" s="8"/>
      <c r="I20" s="8"/>
      <c r="J20" s="8"/>
      <c r="K20" s="8"/>
      <c r="L20" s="8"/>
      <c r="M20" s="8"/>
      <c r="N20" s="8"/>
      <c r="O20" s="8"/>
      <c r="P20" s="9"/>
    </row>
    <row r="21" spans="1:16" ht="15" customHeight="1">
      <c r="A21" s="7"/>
      <c r="B21" s="8"/>
      <c r="C21" s="8"/>
      <c r="D21" s="8"/>
      <c r="E21" s="8"/>
      <c r="F21" s="8"/>
      <c r="G21" s="8"/>
      <c r="H21" s="8"/>
      <c r="I21" s="8"/>
      <c r="J21" s="8"/>
      <c r="K21" s="8"/>
      <c r="L21" s="8"/>
      <c r="M21" s="8"/>
      <c r="N21" s="8"/>
      <c r="O21" s="8"/>
      <c r="P21" s="9"/>
    </row>
    <row r="22" spans="1:16" ht="15" customHeight="1">
      <c r="A22" s="7"/>
      <c r="B22" s="8"/>
      <c r="C22" s="8"/>
      <c r="D22" s="8"/>
      <c r="E22" s="8"/>
      <c r="F22" s="8"/>
      <c r="G22" s="8"/>
      <c r="H22" s="8"/>
      <c r="I22" s="8"/>
      <c r="J22" s="8"/>
      <c r="K22" s="8"/>
      <c r="L22" s="8"/>
      <c r="M22" s="8"/>
      <c r="N22" s="8"/>
      <c r="O22" s="8"/>
      <c r="P22" s="9"/>
    </row>
    <row r="23" spans="1:16" ht="15" customHeight="1">
      <c r="A23" s="7"/>
      <c r="B23" s="8"/>
      <c r="C23" s="8"/>
      <c r="D23" s="8"/>
      <c r="E23" s="8"/>
      <c r="F23" s="8"/>
      <c r="G23" s="8"/>
      <c r="H23" s="8"/>
      <c r="I23" s="8"/>
      <c r="J23" s="8"/>
      <c r="K23" s="8"/>
      <c r="L23" s="8"/>
      <c r="M23" s="8"/>
      <c r="N23" s="8"/>
      <c r="O23" s="8"/>
      <c r="P23" s="9"/>
    </row>
    <row r="24" spans="1:16" ht="15" customHeight="1">
      <c r="A24" s="7"/>
      <c r="B24" s="8"/>
      <c r="C24" s="8"/>
      <c r="D24" s="8"/>
      <c r="E24" s="8"/>
      <c r="F24" s="8"/>
      <c r="G24" s="8"/>
      <c r="H24" s="8"/>
      <c r="I24" s="8"/>
      <c r="J24" s="8"/>
      <c r="K24" s="8"/>
      <c r="L24" s="8"/>
      <c r="M24" s="8"/>
      <c r="N24" s="8"/>
      <c r="O24" s="8"/>
      <c r="P24" s="9"/>
    </row>
    <row r="25" spans="1:16" ht="15" customHeight="1">
      <c r="A25" s="7"/>
      <c r="B25" s="8"/>
      <c r="C25" s="8"/>
      <c r="D25" s="8"/>
      <c r="E25" s="8"/>
      <c r="F25" s="8"/>
      <c r="G25" s="8"/>
      <c r="H25" s="8"/>
      <c r="I25" s="8"/>
      <c r="J25" s="8"/>
      <c r="K25" s="8"/>
      <c r="L25" s="8"/>
      <c r="M25" s="8"/>
      <c r="N25" s="8"/>
      <c r="O25" s="8"/>
      <c r="P25" s="9"/>
    </row>
    <row r="26" spans="1:16" ht="15" customHeight="1">
      <c r="A26" s="7"/>
      <c r="B26" s="8"/>
      <c r="C26" s="8"/>
      <c r="D26" s="8"/>
      <c r="E26" s="8"/>
      <c r="F26" s="8"/>
      <c r="G26" s="8"/>
      <c r="H26" s="8"/>
      <c r="I26" s="8"/>
      <c r="J26" s="8"/>
      <c r="K26" s="8"/>
      <c r="L26" s="8"/>
      <c r="M26" s="8"/>
      <c r="N26" s="8"/>
      <c r="O26" s="8"/>
      <c r="P26" s="9"/>
    </row>
    <row r="27" spans="1:16" ht="15" customHeight="1">
      <c r="A27" s="7"/>
      <c r="B27" s="8"/>
      <c r="C27" s="8"/>
      <c r="D27" s="8"/>
      <c r="E27" s="8"/>
      <c r="F27" s="8"/>
      <c r="G27" s="8"/>
      <c r="H27" s="8"/>
      <c r="I27" s="8"/>
      <c r="J27" s="8"/>
      <c r="K27" s="8"/>
      <c r="L27" s="8"/>
      <c r="M27" s="8"/>
      <c r="N27" s="8"/>
      <c r="O27" s="8"/>
      <c r="P27" s="9"/>
    </row>
    <row r="28" spans="1:16" ht="15" customHeight="1">
      <c r="A28" s="7"/>
      <c r="B28" s="8"/>
      <c r="C28" s="8"/>
      <c r="D28" s="8"/>
      <c r="E28" s="8"/>
      <c r="F28" s="8"/>
      <c r="G28" s="8"/>
      <c r="H28" s="8"/>
      <c r="I28" s="8"/>
      <c r="J28" s="8"/>
      <c r="K28" s="8"/>
      <c r="L28" s="8"/>
      <c r="M28" s="8"/>
      <c r="N28" s="8"/>
      <c r="O28" s="8"/>
      <c r="P28" s="9"/>
    </row>
    <row r="29" spans="1:16" ht="15" customHeight="1">
      <c r="A29" s="7"/>
      <c r="B29" s="8"/>
      <c r="C29" s="8"/>
      <c r="D29" s="8"/>
      <c r="E29" s="8"/>
      <c r="F29" s="8"/>
      <c r="G29" s="8"/>
      <c r="H29" s="8"/>
      <c r="I29" s="8"/>
      <c r="J29" s="8"/>
      <c r="K29" s="8"/>
      <c r="L29" s="8"/>
      <c r="M29" s="8"/>
      <c r="N29" s="8"/>
      <c r="O29" s="8"/>
      <c r="P29" s="9"/>
    </row>
    <row r="30" spans="1:16" ht="15" customHeight="1">
      <c r="A30" s="7"/>
      <c r="B30" s="8"/>
      <c r="C30" s="8"/>
      <c r="D30" s="8"/>
      <c r="E30" s="8"/>
      <c r="F30" s="8"/>
      <c r="G30" s="8"/>
      <c r="H30" s="8"/>
      <c r="I30" s="8"/>
      <c r="J30" s="8"/>
      <c r="K30" s="8"/>
      <c r="L30" s="8"/>
      <c r="M30" s="8"/>
      <c r="N30" s="8"/>
      <c r="O30" s="8"/>
      <c r="P30" s="9"/>
    </row>
    <row r="31" spans="1:16" ht="15" customHeight="1">
      <c r="A31" s="10"/>
      <c r="B31" s="11"/>
      <c r="C31" s="11"/>
      <c r="D31" s="11"/>
      <c r="E31" s="11"/>
      <c r="F31" s="11"/>
      <c r="G31" s="11"/>
      <c r="H31" s="11"/>
      <c r="I31" s="11"/>
      <c r="J31" s="11"/>
      <c r="K31" s="11"/>
      <c r="L31" s="11"/>
      <c r="M31" s="11"/>
      <c r="N31" s="11"/>
      <c r="O31" s="11"/>
      <c r="P31" s="12"/>
    </row>
  </sheetData>
  <mergeCells count="6">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0"/>
  <sheetViews>
    <sheetView showGridLines="0" topLeftCell="A3" workbookViewId="0">
      <selection activeCell="A21" sqref="A21"/>
    </sheetView>
  </sheetViews>
  <sheetFormatPr baseColWidth="10" defaultColWidth="11.453125" defaultRowHeight="15" customHeight="1"/>
  <cols>
    <col min="1" max="17" width="11.453125" style="1" customWidth="1"/>
    <col min="18" max="16384" width="11.453125" style="1"/>
  </cols>
  <sheetData>
    <row r="1" spans="1:16" ht="20.25" customHeight="1">
      <c r="A1" s="487" t="s">
        <v>0</v>
      </c>
      <c r="B1" s="488"/>
      <c r="C1" s="489"/>
      <c r="D1" s="437" t="s">
        <v>1</v>
      </c>
      <c r="E1" s="438"/>
      <c r="F1" s="438"/>
      <c r="G1" s="438"/>
      <c r="H1" s="438"/>
      <c r="I1" s="438"/>
      <c r="J1" s="438"/>
      <c r="K1" s="438"/>
      <c r="L1" s="438"/>
      <c r="M1" s="438"/>
      <c r="N1" s="439" t="s">
        <v>2</v>
      </c>
      <c r="O1" s="440"/>
      <c r="P1" s="441"/>
    </row>
    <row r="2" spans="1:16" ht="19.5" customHeight="1">
      <c r="A2" s="490"/>
      <c r="B2" s="491"/>
      <c r="C2" s="492"/>
      <c r="D2" s="442" t="s">
        <v>3</v>
      </c>
      <c r="E2" s="443"/>
      <c r="F2" s="443"/>
      <c r="G2" s="443"/>
      <c r="H2" s="443"/>
      <c r="I2" s="443"/>
      <c r="J2" s="443"/>
      <c r="K2" s="443"/>
      <c r="L2" s="443"/>
      <c r="M2" s="443"/>
      <c r="N2" s="444" t="s">
        <v>4</v>
      </c>
      <c r="O2" s="445"/>
      <c r="P2" s="446"/>
    </row>
    <row r="3" spans="1:16" ht="62.9" customHeight="1">
      <c r="A3" s="493"/>
      <c r="B3" s="494"/>
      <c r="C3" s="495"/>
      <c r="D3" s="443"/>
      <c r="E3" s="443"/>
      <c r="F3" s="443"/>
      <c r="G3" s="443"/>
      <c r="H3" s="443"/>
      <c r="I3" s="443"/>
      <c r="J3" s="443"/>
      <c r="K3" s="443"/>
      <c r="L3" s="443"/>
      <c r="M3" s="443"/>
      <c r="N3" s="444" t="s">
        <v>5</v>
      </c>
      <c r="O3" s="445"/>
      <c r="P3" s="446"/>
    </row>
    <row r="4" spans="1:16" ht="15" customHeight="1">
      <c r="A4" s="4"/>
      <c r="B4" s="5"/>
      <c r="C4" s="5"/>
      <c r="D4" s="5"/>
      <c r="E4" s="5"/>
      <c r="F4" s="5"/>
      <c r="G4" s="5"/>
      <c r="H4" s="5"/>
      <c r="I4" s="5"/>
      <c r="J4" s="5"/>
      <c r="K4" s="5"/>
      <c r="L4" s="5"/>
      <c r="M4" s="5"/>
      <c r="N4" s="5"/>
      <c r="O4" s="5"/>
      <c r="P4" s="6"/>
    </row>
    <row r="5" spans="1:16" ht="15" customHeight="1">
      <c r="A5" s="7"/>
      <c r="B5" s="8"/>
      <c r="C5" s="8"/>
      <c r="D5" s="8"/>
      <c r="E5" s="8"/>
      <c r="F5" s="8"/>
      <c r="G5" s="8"/>
      <c r="H5" s="8"/>
      <c r="I5" s="8"/>
      <c r="J5" s="8"/>
      <c r="K5" s="8"/>
      <c r="L5" s="8"/>
      <c r="M5" s="8"/>
      <c r="N5" s="8"/>
      <c r="O5" s="8"/>
      <c r="P5" s="9"/>
    </row>
    <row r="6" spans="1:16" ht="15" customHeight="1">
      <c r="A6" s="7"/>
      <c r="B6" s="8"/>
      <c r="C6" s="8"/>
      <c r="D6" s="8"/>
      <c r="E6" s="8"/>
      <c r="F6" s="8"/>
      <c r="G6" s="8"/>
      <c r="H6" s="8"/>
      <c r="I6" s="8"/>
      <c r="J6" s="8"/>
      <c r="K6" s="8"/>
      <c r="L6" s="8"/>
      <c r="M6" s="8"/>
      <c r="N6" s="8"/>
      <c r="O6" s="8"/>
      <c r="P6" s="9"/>
    </row>
    <row r="7" spans="1:16" ht="15" customHeight="1">
      <c r="A7" s="7"/>
      <c r="B7" s="8"/>
      <c r="C7" s="8"/>
      <c r="D7" s="8"/>
      <c r="E7" s="8"/>
      <c r="F7" s="8"/>
      <c r="G7" s="8"/>
      <c r="H7" s="8"/>
      <c r="I7" s="8"/>
      <c r="J7" s="8"/>
      <c r="K7" s="8"/>
      <c r="L7" s="8"/>
      <c r="M7" s="8"/>
      <c r="N7" s="8"/>
      <c r="O7" s="8"/>
      <c r="P7" s="9"/>
    </row>
    <row r="8" spans="1:16" ht="15" customHeight="1">
      <c r="A8" s="7"/>
      <c r="B8" s="8"/>
      <c r="C8" s="8"/>
      <c r="D8" s="8"/>
      <c r="E8" s="8"/>
      <c r="F8" s="8"/>
      <c r="G8" s="8"/>
      <c r="H8" s="8"/>
      <c r="I8" s="8"/>
      <c r="J8" s="8"/>
      <c r="K8" s="8"/>
      <c r="L8" s="8"/>
      <c r="M8" s="8"/>
      <c r="N8" s="8"/>
      <c r="O8" s="8"/>
      <c r="P8" s="9"/>
    </row>
    <row r="9" spans="1:16" ht="15" customHeight="1">
      <c r="A9" s="7"/>
      <c r="B9" s="8"/>
      <c r="C9" s="8"/>
      <c r="D9" s="8"/>
      <c r="E9" s="8"/>
      <c r="F9" s="8"/>
      <c r="G9" s="8"/>
      <c r="H9" s="8"/>
      <c r="I9" s="8"/>
      <c r="J9" s="8"/>
      <c r="K9" s="8"/>
      <c r="L9" s="8"/>
      <c r="M9" s="8"/>
      <c r="N9" s="8"/>
      <c r="O9" s="8"/>
      <c r="P9" s="9"/>
    </row>
    <row r="10" spans="1:16" ht="15" customHeight="1">
      <c r="A10" s="7"/>
      <c r="B10" s="8"/>
      <c r="C10" s="8"/>
      <c r="D10" s="8"/>
      <c r="E10" s="8"/>
      <c r="F10" s="8"/>
      <c r="G10" s="8"/>
      <c r="H10" s="8"/>
      <c r="I10" s="8"/>
      <c r="J10" s="8"/>
      <c r="K10" s="8"/>
      <c r="L10" s="8"/>
      <c r="M10" s="8"/>
      <c r="N10" s="8"/>
      <c r="O10" s="8"/>
      <c r="P10" s="9"/>
    </row>
    <row r="11" spans="1:16" ht="15" customHeight="1">
      <c r="A11" s="7"/>
      <c r="B11" s="8"/>
      <c r="C11" s="8"/>
      <c r="D11" s="8"/>
      <c r="E11" s="8"/>
      <c r="F11" s="8"/>
      <c r="G11" s="8"/>
      <c r="H11" s="8"/>
      <c r="I11" s="8"/>
      <c r="J11" s="8"/>
      <c r="K11" s="8"/>
      <c r="L11" s="8"/>
      <c r="M11" s="8"/>
      <c r="N11" s="8"/>
      <c r="O11" s="8"/>
      <c r="P11" s="9"/>
    </row>
    <row r="12" spans="1:16" ht="15" customHeight="1">
      <c r="A12" s="7"/>
      <c r="B12" s="8"/>
      <c r="C12" s="8"/>
      <c r="D12" s="8"/>
      <c r="E12" s="8"/>
      <c r="F12" s="8"/>
      <c r="G12" s="8"/>
      <c r="H12" s="8"/>
      <c r="I12" s="8"/>
      <c r="J12" s="8"/>
      <c r="K12" s="8"/>
      <c r="L12" s="8"/>
      <c r="M12" s="8"/>
      <c r="N12" s="8"/>
      <c r="O12" s="8"/>
      <c r="P12" s="9"/>
    </row>
    <row r="13" spans="1:16" ht="15" customHeight="1">
      <c r="A13" s="7"/>
      <c r="B13" s="8"/>
      <c r="C13" s="8"/>
      <c r="D13" s="8"/>
      <c r="E13" s="8"/>
      <c r="F13" s="8"/>
      <c r="G13" s="8"/>
      <c r="H13" s="8"/>
      <c r="I13" s="8"/>
      <c r="J13" s="8"/>
      <c r="K13" s="8"/>
      <c r="L13" s="8"/>
      <c r="M13" s="8"/>
      <c r="N13" s="8"/>
      <c r="O13" s="8"/>
      <c r="P13" s="9"/>
    </row>
    <row r="14" spans="1:16" ht="15" customHeight="1">
      <c r="A14" s="7"/>
      <c r="B14" s="8"/>
      <c r="C14" s="8"/>
      <c r="D14" s="8"/>
      <c r="E14" s="8"/>
      <c r="F14" s="8"/>
      <c r="G14" s="8"/>
      <c r="H14" s="8"/>
      <c r="I14" s="8"/>
      <c r="J14" s="8"/>
      <c r="K14" s="8"/>
      <c r="L14" s="8"/>
      <c r="M14" s="8"/>
      <c r="N14" s="8"/>
      <c r="O14" s="8"/>
      <c r="P14" s="9"/>
    </row>
    <row r="15" spans="1:16" ht="15" customHeight="1">
      <c r="A15" s="7"/>
      <c r="B15" s="8"/>
      <c r="C15" s="8"/>
      <c r="D15" s="8"/>
      <c r="E15" s="8"/>
      <c r="F15" s="8"/>
      <c r="G15" s="8"/>
      <c r="H15" s="8"/>
      <c r="I15" s="8"/>
      <c r="J15" s="8"/>
      <c r="K15" s="8"/>
      <c r="L15" s="8"/>
      <c r="M15" s="8"/>
      <c r="N15" s="8"/>
      <c r="O15" s="8"/>
      <c r="P15" s="9"/>
    </row>
    <row r="16" spans="1:16" ht="15" customHeight="1">
      <c r="A16" s="7"/>
      <c r="B16" s="8"/>
      <c r="C16" s="8"/>
      <c r="D16" s="8"/>
      <c r="E16" s="8"/>
      <c r="F16" s="8"/>
      <c r="G16" s="8"/>
      <c r="H16" s="8"/>
      <c r="I16" s="8"/>
      <c r="J16" s="8"/>
      <c r="K16" s="8"/>
      <c r="L16" s="8"/>
      <c r="M16" s="8"/>
      <c r="N16" s="8"/>
      <c r="O16" s="8"/>
      <c r="P16" s="9"/>
    </row>
    <row r="17" spans="1:16" ht="15" customHeight="1">
      <c r="A17" s="7"/>
      <c r="B17" s="8"/>
      <c r="C17" s="8"/>
      <c r="D17" s="8"/>
      <c r="E17" s="8"/>
      <c r="F17" s="8"/>
      <c r="G17" s="8"/>
      <c r="H17" s="8"/>
      <c r="I17" s="8"/>
      <c r="J17" s="8"/>
      <c r="K17" s="8"/>
      <c r="L17" s="8"/>
      <c r="M17" s="8"/>
      <c r="N17" s="8"/>
      <c r="O17" s="8"/>
      <c r="P17" s="9"/>
    </row>
    <row r="18" spans="1:16" ht="15" customHeight="1">
      <c r="A18" s="7"/>
      <c r="B18" s="8"/>
      <c r="C18" s="8"/>
      <c r="D18" s="8"/>
      <c r="E18" s="8"/>
      <c r="F18" s="8"/>
      <c r="G18" s="8"/>
      <c r="H18" s="8"/>
      <c r="I18" s="8"/>
      <c r="J18" s="8"/>
      <c r="K18" s="8"/>
      <c r="L18" s="8"/>
      <c r="M18" s="8"/>
      <c r="N18" s="8"/>
      <c r="O18" s="8"/>
      <c r="P18" s="9"/>
    </row>
    <row r="19" spans="1:16" ht="15" customHeight="1">
      <c r="A19" s="7"/>
      <c r="B19" s="8"/>
      <c r="C19" s="8"/>
      <c r="D19" s="8"/>
      <c r="E19" s="8"/>
      <c r="F19" s="8"/>
      <c r="G19" s="8"/>
      <c r="H19" s="8"/>
      <c r="I19" s="8"/>
      <c r="J19" s="8"/>
      <c r="K19" s="8"/>
      <c r="L19" s="8"/>
      <c r="M19" s="8"/>
      <c r="N19" s="8"/>
      <c r="O19" s="8"/>
      <c r="P19" s="9"/>
    </row>
    <row r="20" spans="1:16" ht="15" customHeight="1">
      <c r="A20" s="7"/>
      <c r="B20" s="8"/>
      <c r="C20" s="8"/>
      <c r="D20" s="8"/>
      <c r="E20" s="8"/>
      <c r="F20" s="8"/>
      <c r="G20" s="8"/>
      <c r="H20" s="8"/>
      <c r="I20" s="8"/>
      <c r="J20" s="8"/>
      <c r="K20" s="8"/>
      <c r="L20" s="8"/>
      <c r="M20" s="8"/>
      <c r="N20" s="8"/>
      <c r="O20" s="8"/>
      <c r="P20" s="9"/>
    </row>
    <row r="21" spans="1:16" ht="15" customHeight="1">
      <c r="A21" s="7"/>
      <c r="B21" s="8"/>
      <c r="C21" s="8"/>
      <c r="D21" s="8"/>
      <c r="E21" s="8"/>
      <c r="F21" s="8"/>
      <c r="G21" s="8"/>
      <c r="H21" s="8"/>
      <c r="I21" s="8"/>
      <c r="J21" s="8"/>
      <c r="K21" s="8"/>
      <c r="L21" s="8"/>
      <c r="M21" s="8"/>
      <c r="N21" s="8"/>
      <c r="O21" s="8"/>
      <c r="P21" s="9"/>
    </row>
    <row r="22" spans="1:16" ht="15" customHeight="1">
      <c r="A22" s="7"/>
      <c r="B22" s="8"/>
      <c r="C22" s="8"/>
      <c r="D22" s="8"/>
      <c r="E22" s="8"/>
      <c r="F22" s="8"/>
      <c r="G22" s="8"/>
      <c r="H22" s="8"/>
      <c r="I22" s="8"/>
      <c r="J22" s="8"/>
      <c r="K22" s="8"/>
      <c r="L22" s="8"/>
      <c r="M22" s="8"/>
      <c r="N22" s="8"/>
      <c r="O22" s="8"/>
      <c r="P22" s="9"/>
    </row>
    <row r="23" spans="1:16" ht="15" customHeight="1">
      <c r="A23" s="7"/>
      <c r="B23" s="8"/>
      <c r="C23" s="8"/>
      <c r="D23" s="8"/>
      <c r="E23" s="8"/>
      <c r="F23" s="8"/>
      <c r="G23" s="8"/>
      <c r="H23" s="8"/>
      <c r="I23" s="8"/>
      <c r="J23" s="8"/>
      <c r="K23" s="8"/>
      <c r="L23" s="8"/>
      <c r="M23" s="8"/>
      <c r="N23" s="8"/>
      <c r="O23" s="8"/>
      <c r="P23" s="9"/>
    </row>
    <row r="24" spans="1:16" ht="15" customHeight="1">
      <c r="A24" s="7"/>
      <c r="B24" s="8"/>
      <c r="C24" s="8"/>
      <c r="D24" s="8"/>
      <c r="E24" s="8"/>
      <c r="F24" s="8"/>
      <c r="G24" s="8"/>
      <c r="H24" s="8"/>
      <c r="I24" s="8"/>
      <c r="J24" s="8"/>
      <c r="K24" s="8"/>
      <c r="L24" s="8"/>
      <c r="M24" s="8"/>
      <c r="N24" s="8"/>
      <c r="O24" s="8"/>
      <c r="P24" s="9"/>
    </row>
    <row r="25" spans="1:16" ht="15" customHeight="1">
      <c r="A25" s="7"/>
      <c r="B25" s="8"/>
      <c r="C25" s="8"/>
      <c r="D25" s="8"/>
      <c r="E25" s="8"/>
      <c r="F25" s="8"/>
      <c r="G25" s="8"/>
      <c r="H25" s="8"/>
      <c r="I25" s="8"/>
      <c r="J25" s="8"/>
      <c r="K25" s="8"/>
      <c r="L25" s="8"/>
      <c r="M25" s="8"/>
      <c r="N25" s="8"/>
      <c r="O25" s="8"/>
      <c r="P25" s="9"/>
    </row>
    <row r="26" spans="1:16" ht="15" customHeight="1">
      <c r="A26" s="7"/>
      <c r="B26" s="8"/>
      <c r="C26" s="8"/>
      <c r="D26" s="8"/>
      <c r="E26" s="8"/>
      <c r="F26" s="8"/>
      <c r="G26" s="8"/>
      <c r="H26" s="8"/>
      <c r="I26" s="8"/>
      <c r="J26" s="8"/>
      <c r="K26" s="8"/>
      <c r="L26" s="8"/>
      <c r="M26" s="8"/>
      <c r="N26" s="8"/>
      <c r="O26" s="8"/>
      <c r="P26" s="9"/>
    </row>
    <row r="27" spans="1:16" ht="15" customHeight="1">
      <c r="A27" s="7"/>
      <c r="B27" s="8"/>
      <c r="C27" s="8"/>
      <c r="D27" s="8"/>
      <c r="E27" s="8"/>
      <c r="F27" s="8"/>
      <c r="G27" s="8"/>
      <c r="H27" s="8"/>
      <c r="I27" s="8"/>
      <c r="J27" s="8"/>
      <c r="K27" s="8"/>
      <c r="L27" s="8"/>
      <c r="M27" s="8"/>
      <c r="N27" s="8"/>
      <c r="O27" s="8"/>
      <c r="P27" s="9"/>
    </row>
    <row r="28" spans="1:16" ht="15" customHeight="1">
      <c r="A28" s="7"/>
      <c r="B28" s="8"/>
      <c r="C28" s="8"/>
      <c r="D28" s="8"/>
      <c r="E28" s="8"/>
      <c r="F28" s="8"/>
      <c r="G28" s="8"/>
      <c r="H28" s="8"/>
      <c r="I28" s="8"/>
      <c r="J28" s="8"/>
      <c r="K28" s="8"/>
      <c r="L28" s="8"/>
      <c r="M28" s="8"/>
      <c r="N28" s="8"/>
      <c r="O28" s="8"/>
      <c r="P28" s="9"/>
    </row>
    <row r="29" spans="1:16" ht="15" customHeight="1">
      <c r="A29" s="7"/>
      <c r="B29" s="8"/>
      <c r="C29" s="8"/>
      <c r="D29" s="8"/>
      <c r="E29" s="8"/>
      <c r="F29" s="8"/>
      <c r="G29" s="8"/>
      <c r="H29" s="8"/>
      <c r="I29" s="8"/>
      <c r="J29" s="8"/>
      <c r="K29" s="8"/>
      <c r="L29" s="8"/>
      <c r="M29" s="8"/>
      <c r="N29" s="8"/>
      <c r="O29" s="8"/>
      <c r="P29" s="9"/>
    </row>
    <row r="30" spans="1:16" ht="15" customHeight="1">
      <c r="A30" s="10"/>
      <c r="B30" s="11"/>
      <c r="C30" s="11"/>
      <c r="D30" s="11"/>
      <c r="E30" s="11"/>
      <c r="F30" s="11"/>
      <c r="G30" s="11"/>
      <c r="H30" s="11"/>
      <c r="I30" s="11"/>
      <c r="J30" s="11"/>
      <c r="K30" s="11"/>
      <c r="L30" s="11"/>
      <c r="M30" s="11"/>
      <c r="N30" s="11"/>
      <c r="O30" s="11"/>
      <c r="P30" s="12"/>
    </row>
  </sheetData>
  <mergeCells count="6">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0"/>
  <sheetViews>
    <sheetView showGridLines="0" topLeftCell="A10" workbookViewId="0">
      <selection activeCell="A20" sqref="A20"/>
    </sheetView>
  </sheetViews>
  <sheetFormatPr baseColWidth="10" defaultColWidth="11.453125" defaultRowHeight="15" customHeight="1"/>
  <cols>
    <col min="1" max="17" width="11.453125" style="1" customWidth="1"/>
    <col min="18" max="16384" width="11.453125" style="1"/>
  </cols>
  <sheetData>
    <row r="1" spans="1:16" ht="20.25" customHeight="1">
      <c r="A1" s="487" t="s">
        <v>0</v>
      </c>
      <c r="B1" s="488"/>
      <c r="C1" s="489"/>
      <c r="D1" s="437" t="s">
        <v>1</v>
      </c>
      <c r="E1" s="438"/>
      <c r="F1" s="438"/>
      <c r="G1" s="438"/>
      <c r="H1" s="438"/>
      <c r="I1" s="438"/>
      <c r="J1" s="438"/>
      <c r="K1" s="438"/>
      <c r="L1" s="438"/>
      <c r="M1" s="438"/>
      <c r="N1" s="439" t="s">
        <v>2</v>
      </c>
      <c r="O1" s="440"/>
      <c r="P1" s="441"/>
    </row>
    <row r="2" spans="1:16" ht="19.5" customHeight="1">
      <c r="A2" s="490"/>
      <c r="B2" s="491"/>
      <c r="C2" s="492"/>
      <c r="D2" s="442" t="s">
        <v>3</v>
      </c>
      <c r="E2" s="443"/>
      <c r="F2" s="443"/>
      <c r="G2" s="443"/>
      <c r="H2" s="443"/>
      <c r="I2" s="443"/>
      <c r="J2" s="443"/>
      <c r="K2" s="443"/>
      <c r="L2" s="443"/>
      <c r="M2" s="443"/>
      <c r="N2" s="444" t="s">
        <v>4</v>
      </c>
      <c r="O2" s="445"/>
      <c r="P2" s="446"/>
    </row>
    <row r="3" spans="1:16" ht="62.65" customHeight="1">
      <c r="A3" s="493"/>
      <c r="B3" s="494"/>
      <c r="C3" s="495"/>
      <c r="D3" s="443"/>
      <c r="E3" s="443"/>
      <c r="F3" s="443"/>
      <c r="G3" s="443"/>
      <c r="H3" s="443"/>
      <c r="I3" s="443"/>
      <c r="J3" s="443"/>
      <c r="K3" s="443"/>
      <c r="L3" s="443"/>
      <c r="M3" s="443"/>
      <c r="N3" s="444" t="s">
        <v>5</v>
      </c>
      <c r="O3" s="445"/>
      <c r="P3" s="446"/>
    </row>
    <row r="4" spans="1:16" ht="15" customHeight="1">
      <c r="A4" s="4"/>
      <c r="B4" s="5"/>
      <c r="C4" s="5"/>
      <c r="D4" s="5"/>
      <c r="E4" s="5"/>
      <c r="F4" s="5"/>
      <c r="G4" s="5"/>
      <c r="H4" s="5"/>
      <c r="I4" s="5"/>
      <c r="J4" s="5"/>
      <c r="K4" s="5"/>
      <c r="L4" s="5"/>
      <c r="M4" s="5"/>
      <c r="N4" s="5"/>
      <c r="O4" s="5"/>
      <c r="P4" s="6"/>
    </row>
    <row r="5" spans="1:16" ht="15" customHeight="1">
      <c r="A5" s="7"/>
      <c r="B5" s="8"/>
      <c r="C5" s="8"/>
      <c r="D5" s="8"/>
      <c r="E5" s="8"/>
      <c r="F5" s="8"/>
      <c r="G5" s="8"/>
      <c r="H5" s="8"/>
      <c r="I5" s="8"/>
      <c r="J5" s="8"/>
      <c r="K5" s="8"/>
      <c r="L5" s="8"/>
      <c r="M5" s="8"/>
      <c r="N5" s="8"/>
      <c r="O5" s="8"/>
      <c r="P5" s="9"/>
    </row>
    <row r="6" spans="1:16" ht="15" customHeight="1">
      <c r="A6" s="7"/>
      <c r="B6" s="8"/>
      <c r="C6" s="8"/>
      <c r="D6" s="8"/>
      <c r="E6" s="8"/>
      <c r="F6" s="8"/>
      <c r="G6" s="8"/>
      <c r="H6" s="8"/>
      <c r="I6" s="8"/>
      <c r="J6" s="8"/>
      <c r="K6" s="8"/>
      <c r="L6" s="8"/>
      <c r="M6" s="8"/>
      <c r="N6" s="8"/>
      <c r="O6" s="8"/>
      <c r="P6" s="9"/>
    </row>
    <row r="7" spans="1:16" ht="15" customHeight="1">
      <c r="A7" s="7"/>
      <c r="B7" s="8"/>
      <c r="C7" s="8"/>
      <c r="D7" s="8"/>
      <c r="E7" s="8"/>
      <c r="F7" s="8"/>
      <c r="G7" s="8"/>
      <c r="H7" s="8"/>
      <c r="I7" s="8"/>
      <c r="J7" s="8"/>
      <c r="K7" s="8"/>
      <c r="L7" s="8"/>
      <c r="M7" s="8"/>
      <c r="N7" s="8"/>
      <c r="O7" s="8"/>
      <c r="P7" s="9"/>
    </row>
    <row r="8" spans="1:16" ht="15" customHeight="1">
      <c r="A8" s="7"/>
      <c r="B8" s="8"/>
      <c r="C8" s="8"/>
      <c r="D8" s="8"/>
      <c r="E8" s="8"/>
      <c r="F8" s="8"/>
      <c r="G8" s="8"/>
      <c r="H8" s="8"/>
      <c r="I8" s="8"/>
      <c r="J8" s="8"/>
      <c r="K8" s="8"/>
      <c r="L8" s="8"/>
      <c r="M8" s="8"/>
      <c r="N8" s="8"/>
      <c r="O8" s="8"/>
      <c r="P8" s="9"/>
    </row>
    <row r="9" spans="1:16" ht="15" customHeight="1">
      <c r="A9" s="7"/>
      <c r="B9" s="8"/>
      <c r="C9" s="8"/>
      <c r="D9" s="8"/>
      <c r="E9" s="8"/>
      <c r="F9" s="8"/>
      <c r="G9" s="8"/>
      <c r="H9" s="8"/>
      <c r="I9" s="8"/>
      <c r="J9" s="8"/>
      <c r="K9" s="8"/>
      <c r="L9" s="8"/>
      <c r="M9" s="8"/>
      <c r="N9" s="8"/>
      <c r="O9" s="8"/>
      <c r="P9" s="9"/>
    </row>
    <row r="10" spans="1:16" ht="15" customHeight="1">
      <c r="A10" s="7"/>
      <c r="B10" s="8"/>
      <c r="C10" s="8"/>
      <c r="D10" s="8"/>
      <c r="E10" s="8"/>
      <c r="F10" s="8"/>
      <c r="G10" s="8"/>
      <c r="H10" s="8"/>
      <c r="I10" s="8"/>
      <c r="J10" s="8"/>
      <c r="K10" s="8"/>
      <c r="L10" s="8"/>
      <c r="M10" s="8"/>
      <c r="N10" s="8"/>
      <c r="O10" s="8"/>
      <c r="P10" s="9"/>
    </row>
    <row r="11" spans="1:16" ht="15" customHeight="1">
      <c r="A11" s="7"/>
      <c r="B11" s="8"/>
      <c r="C11" s="8"/>
      <c r="D11" s="8"/>
      <c r="E11" s="8"/>
      <c r="F11" s="8"/>
      <c r="G11" s="8"/>
      <c r="H11" s="8"/>
      <c r="I11" s="8"/>
      <c r="J11" s="8"/>
      <c r="K11" s="8"/>
      <c r="L11" s="8"/>
      <c r="M11" s="8"/>
      <c r="N11" s="8"/>
      <c r="O11" s="8"/>
      <c r="P11" s="9"/>
    </row>
    <row r="12" spans="1:16" ht="15" customHeight="1">
      <c r="A12" s="7"/>
      <c r="B12" s="8"/>
      <c r="C12" s="8"/>
      <c r="D12" s="8"/>
      <c r="E12" s="8"/>
      <c r="F12" s="8"/>
      <c r="G12" s="8"/>
      <c r="H12" s="8"/>
      <c r="I12" s="8"/>
      <c r="J12" s="8"/>
      <c r="K12" s="8"/>
      <c r="L12" s="8"/>
      <c r="M12" s="8"/>
      <c r="N12" s="8"/>
      <c r="O12" s="8"/>
      <c r="P12" s="9"/>
    </row>
    <row r="13" spans="1:16" ht="15" customHeight="1">
      <c r="A13" s="7"/>
      <c r="B13" s="8"/>
      <c r="C13" s="8"/>
      <c r="D13" s="8"/>
      <c r="E13" s="8"/>
      <c r="F13" s="8"/>
      <c r="G13" s="8"/>
      <c r="H13" s="8"/>
      <c r="I13" s="8"/>
      <c r="J13" s="8"/>
      <c r="K13" s="8"/>
      <c r="L13" s="8"/>
      <c r="M13" s="8"/>
      <c r="N13" s="8"/>
      <c r="O13" s="8"/>
      <c r="P13" s="9"/>
    </row>
    <row r="14" spans="1:16" ht="15" customHeight="1">
      <c r="A14" s="7"/>
      <c r="B14" s="8"/>
      <c r="C14" s="8"/>
      <c r="D14" s="8"/>
      <c r="E14" s="8"/>
      <c r="F14" s="8"/>
      <c r="G14" s="8"/>
      <c r="H14" s="8"/>
      <c r="I14" s="8"/>
      <c r="J14" s="8"/>
      <c r="K14" s="8"/>
      <c r="L14" s="8"/>
      <c r="M14" s="8"/>
      <c r="N14" s="8"/>
      <c r="O14" s="8"/>
      <c r="P14" s="9"/>
    </row>
    <row r="15" spans="1:16" ht="15" customHeight="1">
      <c r="A15" s="7"/>
      <c r="B15" s="8"/>
      <c r="C15" s="8"/>
      <c r="D15" s="8"/>
      <c r="E15" s="8"/>
      <c r="F15" s="8"/>
      <c r="G15" s="8"/>
      <c r="H15" s="8"/>
      <c r="I15" s="8"/>
      <c r="J15" s="8"/>
      <c r="K15" s="8"/>
      <c r="L15" s="8"/>
      <c r="M15" s="8"/>
      <c r="N15" s="8"/>
      <c r="O15" s="8"/>
      <c r="P15" s="9"/>
    </row>
    <row r="16" spans="1:16" ht="15" customHeight="1">
      <c r="A16" s="7"/>
      <c r="B16" s="8"/>
      <c r="C16" s="8"/>
      <c r="D16" s="8"/>
      <c r="E16" s="8"/>
      <c r="F16" s="8"/>
      <c r="G16" s="8"/>
      <c r="H16" s="8"/>
      <c r="I16" s="8"/>
      <c r="J16" s="8"/>
      <c r="K16" s="8"/>
      <c r="L16" s="8"/>
      <c r="M16" s="8"/>
      <c r="N16" s="8"/>
      <c r="O16" s="8"/>
      <c r="P16" s="9"/>
    </row>
    <row r="17" spans="1:16" ht="15" customHeight="1">
      <c r="A17" s="7"/>
      <c r="B17" s="8"/>
      <c r="C17" s="8"/>
      <c r="D17" s="8"/>
      <c r="E17" s="8"/>
      <c r="F17" s="8"/>
      <c r="G17" s="8"/>
      <c r="H17" s="8"/>
      <c r="I17" s="8"/>
      <c r="J17" s="8"/>
      <c r="K17" s="8"/>
      <c r="L17" s="8"/>
      <c r="M17" s="8"/>
      <c r="N17" s="8"/>
      <c r="O17" s="8"/>
      <c r="P17" s="9"/>
    </row>
    <row r="18" spans="1:16" ht="15" customHeight="1">
      <c r="A18" s="7"/>
      <c r="B18" s="8"/>
      <c r="C18" s="8"/>
      <c r="D18" s="8"/>
      <c r="E18" s="8"/>
      <c r="F18" s="8"/>
      <c r="G18" s="8"/>
      <c r="H18" s="8"/>
      <c r="I18" s="8"/>
      <c r="J18" s="8"/>
      <c r="K18" s="8"/>
      <c r="L18" s="8"/>
      <c r="M18" s="8"/>
      <c r="N18" s="8"/>
      <c r="O18" s="8"/>
      <c r="P18" s="9"/>
    </row>
    <row r="19" spans="1:16" ht="15" customHeight="1">
      <c r="A19" s="7"/>
      <c r="B19" s="8"/>
      <c r="C19" s="8"/>
      <c r="D19" s="8"/>
      <c r="E19" s="8"/>
      <c r="F19" s="8"/>
      <c r="G19" s="8"/>
      <c r="H19" s="8"/>
      <c r="I19" s="8"/>
      <c r="J19" s="8"/>
      <c r="K19" s="8"/>
      <c r="L19" s="8"/>
      <c r="M19" s="8"/>
      <c r="N19" s="8"/>
      <c r="O19" s="8"/>
      <c r="P19" s="9"/>
    </row>
    <row r="20" spans="1:16" ht="15" customHeight="1">
      <c r="A20" s="7"/>
      <c r="B20" s="8"/>
      <c r="C20" s="8"/>
      <c r="D20" s="8"/>
      <c r="E20" s="8"/>
      <c r="F20" s="8"/>
      <c r="G20" s="8"/>
      <c r="H20" s="8"/>
      <c r="I20" s="8"/>
      <c r="J20" s="8"/>
      <c r="K20" s="8"/>
      <c r="L20" s="8"/>
      <c r="M20" s="8"/>
      <c r="N20" s="8"/>
      <c r="O20" s="8"/>
      <c r="P20" s="9"/>
    </row>
    <row r="21" spans="1:16" ht="15" customHeight="1">
      <c r="A21" s="7"/>
      <c r="B21" s="8"/>
      <c r="C21" s="8"/>
      <c r="D21" s="8"/>
      <c r="E21" s="8"/>
      <c r="F21" s="8"/>
      <c r="G21" s="8"/>
      <c r="H21" s="8"/>
      <c r="I21" s="8"/>
      <c r="J21" s="8"/>
      <c r="K21" s="8"/>
      <c r="L21" s="8"/>
      <c r="M21" s="8"/>
      <c r="N21" s="8"/>
      <c r="O21" s="8"/>
      <c r="P21" s="9"/>
    </row>
    <row r="22" spans="1:16" ht="15" customHeight="1">
      <c r="A22" s="7"/>
      <c r="B22" s="8"/>
      <c r="C22" s="8"/>
      <c r="D22" s="8"/>
      <c r="E22" s="8"/>
      <c r="F22" s="8"/>
      <c r="G22" s="8"/>
      <c r="H22" s="8"/>
      <c r="I22" s="8"/>
      <c r="J22" s="8"/>
      <c r="K22" s="8"/>
      <c r="L22" s="8"/>
      <c r="M22" s="8"/>
      <c r="N22" s="8"/>
      <c r="O22" s="8"/>
      <c r="P22" s="9"/>
    </row>
    <row r="23" spans="1:16" ht="15" customHeight="1">
      <c r="A23" s="7"/>
      <c r="B23" s="8"/>
      <c r="C23" s="8"/>
      <c r="D23" s="8"/>
      <c r="E23" s="8"/>
      <c r="F23" s="8"/>
      <c r="G23" s="8"/>
      <c r="H23" s="8"/>
      <c r="I23" s="8"/>
      <c r="J23" s="8"/>
      <c r="K23" s="8"/>
      <c r="L23" s="8"/>
      <c r="M23" s="8"/>
      <c r="N23" s="8"/>
      <c r="O23" s="8"/>
      <c r="P23" s="9"/>
    </row>
    <row r="24" spans="1:16" ht="15" customHeight="1">
      <c r="A24" s="7"/>
      <c r="B24" s="8"/>
      <c r="C24" s="8"/>
      <c r="D24" s="8"/>
      <c r="E24" s="8"/>
      <c r="F24" s="8"/>
      <c r="G24" s="8"/>
      <c r="H24" s="8"/>
      <c r="I24" s="8"/>
      <c r="J24" s="8"/>
      <c r="K24" s="8"/>
      <c r="L24" s="8"/>
      <c r="M24" s="8"/>
      <c r="N24" s="8"/>
      <c r="O24" s="8"/>
      <c r="P24" s="9"/>
    </row>
    <row r="25" spans="1:16" ht="15" customHeight="1">
      <c r="A25" s="7"/>
      <c r="B25" s="8"/>
      <c r="C25" s="8"/>
      <c r="D25" s="8"/>
      <c r="E25" s="8"/>
      <c r="F25" s="8"/>
      <c r="G25" s="8"/>
      <c r="H25" s="8"/>
      <c r="I25" s="8"/>
      <c r="J25" s="8"/>
      <c r="K25" s="8"/>
      <c r="L25" s="8"/>
      <c r="M25" s="8"/>
      <c r="N25" s="8"/>
      <c r="O25" s="8"/>
      <c r="P25" s="9"/>
    </row>
    <row r="26" spans="1:16" ht="15" customHeight="1">
      <c r="A26" s="7"/>
      <c r="B26" s="8"/>
      <c r="C26" s="8"/>
      <c r="D26" s="8"/>
      <c r="E26" s="8"/>
      <c r="F26" s="8"/>
      <c r="G26" s="8"/>
      <c r="H26" s="8"/>
      <c r="I26" s="8"/>
      <c r="J26" s="8"/>
      <c r="K26" s="8"/>
      <c r="L26" s="8"/>
      <c r="M26" s="8"/>
      <c r="N26" s="8"/>
      <c r="O26" s="8"/>
      <c r="P26" s="9"/>
    </row>
    <row r="27" spans="1:16" ht="15" customHeight="1">
      <c r="A27" s="7"/>
      <c r="B27" s="8"/>
      <c r="C27" s="8"/>
      <c r="D27" s="8"/>
      <c r="E27" s="8"/>
      <c r="F27" s="8"/>
      <c r="G27" s="8"/>
      <c r="H27" s="8"/>
      <c r="I27" s="8"/>
      <c r="J27" s="8"/>
      <c r="K27" s="8"/>
      <c r="L27" s="8"/>
      <c r="M27" s="8"/>
      <c r="N27" s="8"/>
      <c r="O27" s="8"/>
      <c r="P27" s="9"/>
    </row>
    <row r="28" spans="1:16" ht="15" customHeight="1">
      <c r="A28" s="7"/>
      <c r="B28" s="8"/>
      <c r="C28" s="8"/>
      <c r="D28" s="8"/>
      <c r="E28" s="8"/>
      <c r="F28" s="8"/>
      <c r="G28" s="8"/>
      <c r="H28" s="8"/>
      <c r="I28" s="8"/>
      <c r="J28" s="8"/>
      <c r="K28" s="8"/>
      <c r="L28" s="8"/>
      <c r="M28" s="8"/>
      <c r="N28" s="8"/>
      <c r="O28" s="8"/>
      <c r="P28" s="9"/>
    </row>
    <row r="29" spans="1:16" ht="15" customHeight="1">
      <c r="A29" s="7"/>
      <c r="B29" s="8"/>
      <c r="C29" s="8"/>
      <c r="D29" s="8"/>
      <c r="E29" s="8"/>
      <c r="F29" s="8"/>
      <c r="G29" s="8"/>
      <c r="H29" s="8"/>
      <c r="I29" s="8"/>
      <c r="J29" s="8"/>
      <c r="K29" s="8"/>
      <c r="L29" s="8"/>
      <c r="M29" s="8"/>
      <c r="N29" s="8"/>
      <c r="O29" s="8"/>
      <c r="P29" s="9"/>
    </row>
    <row r="30" spans="1:16" ht="15" customHeight="1">
      <c r="A30" s="10"/>
      <c r="B30" s="11"/>
      <c r="C30" s="11"/>
      <c r="D30" s="11"/>
      <c r="E30" s="11"/>
      <c r="F30" s="11"/>
      <c r="G30" s="11"/>
      <c r="H30" s="11"/>
      <c r="I30" s="11"/>
      <c r="J30" s="11"/>
      <c r="K30" s="11"/>
      <c r="L30" s="11"/>
      <c r="M30" s="11"/>
      <c r="N30" s="11"/>
      <c r="O30" s="11"/>
      <c r="P30" s="12"/>
    </row>
  </sheetData>
  <mergeCells count="6">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30"/>
  <sheetViews>
    <sheetView showGridLines="0" topLeftCell="A12" workbookViewId="0">
      <selection activeCell="A33" sqref="A33"/>
    </sheetView>
  </sheetViews>
  <sheetFormatPr baseColWidth="10" defaultColWidth="11.453125" defaultRowHeight="15" customHeight="1"/>
  <cols>
    <col min="1" max="17" width="11.453125" style="1" customWidth="1"/>
    <col min="18" max="16384" width="11.453125" style="1"/>
  </cols>
  <sheetData>
    <row r="1" spans="1:16" ht="20.25" customHeight="1">
      <c r="A1" s="487" t="s">
        <v>0</v>
      </c>
      <c r="B1" s="488"/>
      <c r="C1" s="489"/>
      <c r="D1" s="437" t="s">
        <v>1</v>
      </c>
      <c r="E1" s="438"/>
      <c r="F1" s="438"/>
      <c r="G1" s="438"/>
      <c r="H1" s="438"/>
      <c r="I1" s="438"/>
      <c r="J1" s="438"/>
      <c r="K1" s="438"/>
      <c r="L1" s="438"/>
      <c r="M1" s="438"/>
      <c r="N1" s="439" t="s">
        <v>2</v>
      </c>
      <c r="O1" s="440"/>
      <c r="P1" s="441"/>
    </row>
    <row r="2" spans="1:16" ht="19.5" customHeight="1">
      <c r="A2" s="490"/>
      <c r="B2" s="491"/>
      <c r="C2" s="492"/>
      <c r="D2" s="442" t="s">
        <v>3</v>
      </c>
      <c r="E2" s="443"/>
      <c r="F2" s="443"/>
      <c r="G2" s="443"/>
      <c r="H2" s="443"/>
      <c r="I2" s="443"/>
      <c r="J2" s="443"/>
      <c r="K2" s="443"/>
      <c r="L2" s="443"/>
      <c r="M2" s="443"/>
      <c r="N2" s="444" t="s">
        <v>4</v>
      </c>
      <c r="O2" s="445"/>
      <c r="P2" s="446"/>
    </row>
    <row r="3" spans="1:16" ht="59.65" customHeight="1">
      <c r="A3" s="493"/>
      <c r="B3" s="494"/>
      <c r="C3" s="495"/>
      <c r="D3" s="443"/>
      <c r="E3" s="443"/>
      <c r="F3" s="443"/>
      <c r="G3" s="443"/>
      <c r="H3" s="443"/>
      <c r="I3" s="443"/>
      <c r="J3" s="443"/>
      <c r="K3" s="443"/>
      <c r="L3" s="443"/>
      <c r="M3" s="443"/>
      <c r="N3" s="444" t="s">
        <v>5</v>
      </c>
      <c r="O3" s="445"/>
      <c r="P3" s="446"/>
    </row>
    <row r="4" spans="1:16" ht="15" customHeight="1">
      <c r="A4" s="4"/>
      <c r="B4" s="5"/>
      <c r="C4" s="5"/>
      <c r="D4" s="5"/>
      <c r="E4" s="5"/>
      <c r="F4" s="5"/>
      <c r="G4" s="5"/>
      <c r="H4" s="5"/>
      <c r="I4" s="5"/>
      <c r="J4" s="5"/>
      <c r="K4" s="5"/>
      <c r="L4" s="5"/>
      <c r="M4" s="5"/>
      <c r="N4" s="5"/>
      <c r="O4" s="5"/>
      <c r="P4" s="6"/>
    </row>
    <row r="5" spans="1:16" ht="15" customHeight="1">
      <c r="A5" s="7"/>
      <c r="B5" s="8"/>
      <c r="C5" s="8"/>
      <c r="D5" s="8"/>
      <c r="E5" s="8"/>
      <c r="F5" s="8"/>
      <c r="G5" s="8"/>
      <c r="H5" s="8"/>
      <c r="I5" s="8"/>
      <c r="J5" s="8"/>
      <c r="K5" s="8"/>
      <c r="L5" s="8"/>
      <c r="M5" s="8"/>
      <c r="N5" s="8"/>
      <c r="O5" s="8"/>
      <c r="P5" s="9"/>
    </row>
    <row r="6" spans="1:16" ht="15" customHeight="1">
      <c r="A6" s="7"/>
      <c r="B6" s="8"/>
      <c r="C6" s="8"/>
      <c r="D6" s="8"/>
      <c r="E6" s="8"/>
      <c r="F6" s="8"/>
      <c r="G6" s="8"/>
      <c r="H6" s="8"/>
      <c r="I6" s="8"/>
      <c r="J6" s="8"/>
      <c r="K6" s="8"/>
      <c r="L6" s="8"/>
      <c r="M6" s="8"/>
      <c r="N6" s="8"/>
      <c r="O6" s="8"/>
      <c r="P6" s="9"/>
    </row>
    <row r="7" spans="1:16" ht="15" customHeight="1">
      <c r="A7" s="7"/>
      <c r="B7" s="8"/>
      <c r="C7" s="8"/>
      <c r="D7" s="8"/>
      <c r="E7" s="8"/>
      <c r="F7" s="8"/>
      <c r="G7" s="8"/>
      <c r="H7" s="8"/>
      <c r="I7" s="8"/>
      <c r="J7" s="8"/>
      <c r="K7" s="8"/>
      <c r="L7" s="8"/>
      <c r="M7" s="8"/>
      <c r="N7" s="8"/>
      <c r="O7" s="8"/>
      <c r="P7" s="9"/>
    </row>
    <row r="8" spans="1:16" ht="15" customHeight="1">
      <c r="A8" s="7"/>
      <c r="B8" s="8"/>
      <c r="C8" s="8"/>
      <c r="D8" s="8"/>
      <c r="E8" s="8"/>
      <c r="F8" s="8"/>
      <c r="G8" s="8"/>
      <c r="H8" s="8"/>
      <c r="I8" s="8"/>
      <c r="J8" s="8"/>
      <c r="K8" s="8"/>
      <c r="L8" s="8"/>
      <c r="M8" s="8"/>
      <c r="N8" s="8"/>
      <c r="O8" s="8"/>
      <c r="P8" s="9"/>
    </row>
    <row r="9" spans="1:16" ht="15" customHeight="1">
      <c r="A9" s="7"/>
      <c r="B9" s="8"/>
      <c r="C9" s="8"/>
      <c r="D9" s="8"/>
      <c r="E9" s="8"/>
      <c r="F9" s="8"/>
      <c r="G9" s="8"/>
      <c r="H9" s="8"/>
      <c r="I9" s="8"/>
      <c r="J9" s="8"/>
      <c r="K9" s="8"/>
      <c r="L9" s="8"/>
      <c r="M9" s="8"/>
      <c r="N9" s="8"/>
      <c r="O9" s="8"/>
      <c r="P9" s="9"/>
    </row>
    <row r="10" spans="1:16" ht="15" customHeight="1">
      <c r="A10" s="7"/>
      <c r="B10" s="8"/>
      <c r="C10" s="8"/>
      <c r="D10" s="8"/>
      <c r="E10" s="8"/>
      <c r="F10" s="8"/>
      <c r="G10" s="8"/>
      <c r="H10" s="8"/>
      <c r="I10" s="8"/>
      <c r="J10" s="8"/>
      <c r="K10" s="8"/>
      <c r="L10" s="8"/>
      <c r="M10" s="8"/>
      <c r="N10" s="8"/>
      <c r="O10" s="8"/>
      <c r="P10" s="9"/>
    </row>
    <row r="11" spans="1:16" ht="15" customHeight="1">
      <c r="A11" s="7"/>
      <c r="B11" s="8"/>
      <c r="C11" s="8"/>
      <c r="D11" s="8"/>
      <c r="E11" s="8"/>
      <c r="F11" s="8"/>
      <c r="G11" s="8"/>
      <c r="H11" s="8"/>
      <c r="I11" s="8"/>
      <c r="J11" s="8"/>
      <c r="K11" s="8"/>
      <c r="L11" s="8"/>
      <c r="M11" s="8"/>
      <c r="N11" s="8"/>
      <c r="O11" s="8"/>
      <c r="P11" s="9"/>
    </row>
    <row r="12" spans="1:16" ht="15" customHeight="1">
      <c r="A12" s="7"/>
      <c r="B12" s="8"/>
      <c r="C12" s="8"/>
      <c r="D12" s="8"/>
      <c r="E12" s="8"/>
      <c r="F12" s="8"/>
      <c r="G12" s="8"/>
      <c r="H12" s="8"/>
      <c r="I12" s="8"/>
      <c r="J12" s="8"/>
      <c r="K12" s="8"/>
      <c r="L12" s="8"/>
      <c r="M12" s="8"/>
      <c r="N12" s="8"/>
      <c r="O12" s="8"/>
      <c r="P12" s="9"/>
    </row>
    <row r="13" spans="1:16" ht="15" customHeight="1">
      <c r="A13" s="7"/>
      <c r="B13" s="8"/>
      <c r="C13" s="8"/>
      <c r="D13" s="8"/>
      <c r="E13" s="8"/>
      <c r="F13" s="8"/>
      <c r="G13" s="8"/>
      <c r="H13" s="8"/>
      <c r="I13" s="8"/>
      <c r="J13" s="8"/>
      <c r="K13" s="8"/>
      <c r="L13" s="8"/>
      <c r="M13" s="8"/>
      <c r="N13" s="8"/>
      <c r="O13" s="8"/>
      <c r="P13" s="9"/>
    </row>
    <row r="14" spans="1:16" ht="15" customHeight="1">
      <c r="A14" s="7"/>
      <c r="B14" s="8"/>
      <c r="C14" s="8"/>
      <c r="D14" s="8"/>
      <c r="E14" s="8"/>
      <c r="F14" s="8"/>
      <c r="G14" s="8"/>
      <c r="H14" s="8"/>
      <c r="I14" s="8"/>
      <c r="J14" s="8"/>
      <c r="K14" s="8"/>
      <c r="L14" s="8"/>
      <c r="M14" s="8"/>
      <c r="N14" s="8"/>
      <c r="O14" s="8"/>
      <c r="P14" s="9"/>
    </row>
    <row r="15" spans="1:16" ht="15" customHeight="1">
      <c r="A15" s="7"/>
      <c r="B15" s="8"/>
      <c r="C15" s="8"/>
      <c r="D15" s="8"/>
      <c r="E15" s="8"/>
      <c r="F15" s="8"/>
      <c r="G15" s="8"/>
      <c r="H15" s="8"/>
      <c r="I15" s="8"/>
      <c r="J15" s="8"/>
      <c r="K15" s="8"/>
      <c r="L15" s="8"/>
      <c r="M15" s="8"/>
      <c r="N15" s="8"/>
      <c r="O15" s="8"/>
      <c r="P15" s="9"/>
    </row>
    <row r="16" spans="1:16" ht="15" customHeight="1">
      <c r="A16" s="7"/>
      <c r="B16" s="8"/>
      <c r="C16" s="8"/>
      <c r="D16" s="8"/>
      <c r="E16" s="8"/>
      <c r="F16" s="8"/>
      <c r="G16" s="8"/>
      <c r="H16" s="8"/>
      <c r="I16" s="8"/>
      <c r="J16" s="8"/>
      <c r="K16" s="8"/>
      <c r="L16" s="8"/>
      <c r="M16" s="8"/>
      <c r="N16" s="8"/>
      <c r="O16" s="8"/>
      <c r="P16" s="9"/>
    </row>
    <row r="17" spans="1:16" ht="15" customHeight="1">
      <c r="A17" s="7"/>
      <c r="B17" s="8"/>
      <c r="C17" s="8"/>
      <c r="D17" s="8"/>
      <c r="E17" s="8"/>
      <c r="F17" s="8"/>
      <c r="G17" s="8"/>
      <c r="H17" s="8"/>
      <c r="I17" s="8"/>
      <c r="J17" s="8"/>
      <c r="K17" s="8"/>
      <c r="L17" s="8"/>
      <c r="M17" s="8"/>
      <c r="N17" s="8"/>
      <c r="O17" s="8"/>
      <c r="P17" s="9"/>
    </row>
    <row r="18" spans="1:16" ht="15" customHeight="1">
      <c r="A18" s="7"/>
      <c r="B18" s="8"/>
      <c r="C18" s="8"/>
      <c r="D18" s="8"/>
      <c r="E18" s="8"/>
      <c r="F18" s="8"/>
      <c r="G18" s="8"/>
      <c r="H18" s="8"/>
      <c r="I18" s="8"/>
      <c r="J18" s="8"/>
      <c r="K18" s="8"/>
      <c r="L18" s="8"/>
      <c r="M18" s="8"/>
      <c r="N18" s="8"/>
      <c r="O18" s="8"/>
      <c r="P18" s="9"/>
    </row>
    <row r="19" spans="1:16" ht="15" customHeight="1">
      <c r="A19" s="7"/>
      <c r="B19" s="8"/>
      <c r="C19" s="8"/>
      <c r="D19" s="8"/>
      <c r="E19" s="8"/>
      <c r="F19" s="8"/>
      <c r="G19" s="8"/>
      <c r="H19" s="8"/>
      <c r="I19" s="8"/>
      <c r="J19" s="8"/>
      <c r="K19" s="8"/>
      <c r="L19" s="8"/>
      <c r="M19" s="8"/>
      <c r="N19" s="8"/>
      <c r="O19" s="8"/>
      <c r="P19" s="9"/>
    </row>
    <row r="20" spans="1:16" ht="15" customHeight="1">
      <c r="A20" s="7"/>
      <c r="B20" s="8"/>
      <c r="C20" s="8"/>
      <c r="D20" s="8"/>
      <c r="E20" s="8"/>
      <c r="F20" s="8"/>
      <c r="G20" s="8"/>
      <c r="H20" s="8"/>
      <c r="I20" s="8"/>
      <c r="J20" s="8"/>
      <c r="K20" s="8"/>
      <c r="L20" s="8"/>
      <c r="M20" s="8"/>
      <c r="N20" s="8"/>
      <c r="O20" s="8"/>
      <c r="P20" s="9"/>
    </row>
    <row r="21" spans="1:16" ht="15" customHeight="1">
      <c r="A21" s="7"/>
      <c r="B21" s="8"/>
      <c r="C21" s="8"/>
      <c r="D21" s="8"/>
      <c r="E21" s="8"/>
      <c r="F21" s="8"/>
      <c r="G21" s="8"/>
      <c r="H21" s="8"/>
      <c r="I21" s="8"/>
      <c r="J21" s="8"/>
      <c r="K21" s="8"/>
      <c r="L21" s="8"/>
      <c r="M21" s="8"/>
      <c r="N21" s="8"/>
      <c r="O21" s="8"/>
      <c r="P21" s="9"/>
    </row>
    <row r="22" spans="1:16" ht="15" customHeight="1">
      <c r="A22" s="7"/>
      <c r="B22" s="8"/>
      <c r="C22" s="8"/>
      <c r="D22" s="8"/>
      <c r="E22" s="8"/>
      <c r="F22" s="8"/>
      <c r="G22" s="8"/>
      <c r="H22" s="8"/>
      <c r="I22" s="8"/>
      <c r="J22" s="8"/>
      <c r="K22" s="8"/>
      <c r="L22" s="8"/>
      <c r="M22" s="8"/>
      <c r="N22" s="8"/>
      <c r="O22" s="8"/>
      <c r="P22" s="9"/>
    </row>
    <row r="23" spans="1:16" ht="15" customHeight="1">
      <c r="A23" s="7"/>
      <c r="B23" s="8"/>
      <c r="C23" s="8"/>
      <c r="D23" s="8"/>
      <c r="E23" s="8"/>
      <c r="F23" s="8"/>
      <c r="G23" s="8"/>
      <c r="H23" s="8"/>
      <c r="I23" s="8"/>
      <c r="J23" s="8"/>
      <c r="K23" s="8"/>
      <c r="L23" s="8"/>
      <c r="M23" s="8"/>
      <c r="N23" s="8"/>
      <c r="O23" s="8"/>
      <c r="P23" s="9"/>
    </row>
    <row r="24" spans="1:16" ht="15" customHeight="1">
      <c r="A24" s="7"/>
      <c r="B24" s="8"/>
      <c r="C24" s="8"/>
      <c r="D24" s="8"/>
      <c r="E24" s="8"/>
      <c r="F24" s="8"/>
      <c r="G24" s="8"/>
      <c r="H24" s="8"/>
      <c r="I24" s="8"/>
      <c r="J24" s="8"/>
      <c r="K24" s="8"/>
      <c r="L24" s="8"/>
      <c r="M24" s="8"/>
      <c r="N24" s="8"/>
      <c r="O24" s="8"/>
      <c r="P24" s="9"/>
    </row>
    <row r="25" spans="1:16" ht="15" customHeight="1">
      <c r="A25" s="7"/>
      <c r="B25" s="8"/>
      <c r="C25" s="8"/>
      <c r="D25" s="8"/>
      <c r="E25" s="8"/>
      <c r="F25" s="8"/>
      <c r="G25" s="8"/>
      <c r="H25" s="8"/>
      <c r="I25" s="8"/>
      <c r="J25" s="8"/>
      <c r="K25" s="8"/>
      <c r="L25" s="8"/>
      <c r="M25" s="8"/>
      <c r="N25" s="8"/>
      <c r="O25" s="8"/>
      <c r="P25" s="9"/>
    </row>
    <row r="26" spans="1:16" ht="15" customHeight="1">
      <c r="A26" s="7"/>
      <c r="B26" s="8"/>
      <c r="C26" s="8"/>
      <c r="D26" s="8"/>
      <c r="E26" s="8"/>
      <c r="F26" s="8"/>
      <c r="G26" s="8"/>
      <c r="H26" s="8"/>
      <c r="I26" s="8"/>
      <c r="J26" s="8"/>
      <c r="K26" s="8"/>
      <c r="L26" s="8"/>
      <c r="M26" s="8"/>
      <c r="N26" s="8"/>
      <c r="O26" s="8"/>
      <c r="P26" s="9"/>
    </row>
    <row r="27" spans="1:16" ht="15" customHeight="1">
      <c r="A27" s="7"/>
      <c r="B27" s="8"/>
      <c r="C27" s="8"/>
      <c r="D27" s="8"/>
      <c r="E27" s="8"/>
      <c r="F27" s="8"/>
      <c r="G27" s="8"/>
      <c r="H27" s="8"/>
      <c r="I27" s="8"/>
      <c r="J27" s="8"/>
      <c r="K27" s="8"/>
      <c r="L27" s="8"/>
      <c r="M27" s="8"/>
      <c r="N27" s="8"/>
      <c r="O27" s="8"/>
      <c r="P27" s="9"/>
    </row>
    <row r="28" spans="1:16" ht="15" customHeight="1">
      <c r="A28" s="7"/>
      <c r="B28" s="8"/>
      <c r="C28" s="8"/>
      <c r="D28" s="8"/>
      <c r="E28" s="8"/>
      <c r="F28" s="8"/>
      <c r="G28" s="8"/>
      <c r="H28" s="8"/>
      <c r="I28" s="8"/>
      <c r="J28" s="8"/>
      <c r="K28" s="8"/>
      <c r="L28" s="8"/>
      <c r="M28" s="8"/>
      <c r="N28" s="8"/>
      <c r="O28" s="8"/>
      <c r="P28" s="9"/>
    </row>
    <row r="29" spans="1:16" ht="15" customHeight="1">
      <c r="A29" s="7"/>
      <c r="B29" s="8"/>
      <c r="C29" s="8"/>
      <c r="D29" s="8"/>
      <c r="E29" s="8"/>
      <c r="F29" s="8"/>
      <c r="G29" s="8"/>
      <c r="H29" s="8"/>
      <c r="I29" s="8"/>
      <c r="J29" s="8"/>
      <c r="K29" s="8"/>
      <c r="L29" s="8"/>
      <c r="M29" s="8"/>
      <c r="N29" s="8"/>
      <c r="O29" s="8"/>
      <c r="P29" s="9"/>
    </row>
    <row r="30" spans="1:16" ht="15" customHeight="1">
      <c r="A30" s="10"/>
      <c r="B30" s="11"/>
      <c r="C30" s="11"/>
      <c r="D30" s="11"/>
      <c r="E30" s="11"/>
      <c r="F30" s="11"/>
      <c r="G30" s="11"/>
      <c r="H30" s="11"/>
      <c r="I30" s="11"/>
      <c r="J30" s="11"/>
      <c r="K30" s="11"/>
      <c r="L30" s="11"/>
      <c r="M30" s="11"/>
      <c r="N30" s="11"/>
      <c r="O30" s="11"/>
      <c r="P30" s="12"/>
    </row>
  </sheetData>
  <mergeCells count="6">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9"/>
  <sheetViews>
    <sheetView showGridLines="0" topLeftCell="A21" workbookViewId="0">
      <selection activeCell="A42" sqref="A42"/>
    </sheetView>
  </sheetViews>
  <sheetFormatPr baseColWidth="10" defaultColWidth="11.453125" defaultRowHeight="15" customHeight="1"/>
  <cols>
    <col min="1" max="17" width="11.453125" style="1" customWidth="1"/>
    <col min="18" max="16384" width="11.453125" style="1"/>
  </cols>
  <sheetData>
    <row r="1" spans="1:16" ht="20.25" customHeight="1">
      <c r="A1" s="487" t="s">
        <v>0</v>
      </c>
      <c r="B1" s="488"/>
      <c r="C1" s="489"/>
      <c r="D1" s="437" t="s">
        <v>1</v>
      </c>
      <c r="E1" s="438"/>
      <c r="F1" s="438"/>
      <c r="G1" s="438"/>
      <c r="H1" s="438"/>
      <c r="I1" s="438"/>
      <c r="J1" s="438"/>
      <c r="K1" s="438"/>
      <c r="L1" s="438"/>
      <c r="M1" s="438"/>
      <c r="N1" s="439" t="s">
        <v>2</v>
      </c>
      <c r="O1" s="440"/>
      <c r="P1" s="441"/>
    </row>
    <row r="2" spans="1:16" ht="19.5" customHeight="1">
      <c r="A2" s="490"/>
      <c r="B2" s="491"/>
      <c r="C2" s="492"/>
      <c r="D2" s="442" t="s">
        <v>3</v>
      </c>
      <c r="E2" s="443"/>
      <c r="F2" s="443"/>
      <c r="G2" s="443"/>
      <c r="H2" s="443"/>
      <c r="I2" s="443"/>
      <c r="J2" s="443"/>
      <c r="K2" s="443"/>
      <c r="L2" s="443"/>
      <c r="M2" s="443"/>
      <c r="N2" s="444" t="s">
        <v>4</v>
      </c>
      <c r="O2" s="445"/>
      <c r="P2" s="446"/>
    </row>
    <row r="3" spans="1:16" ht="60.75" customHeight="1">
      <c r="A3" s="493"/>
      <c r="B3" s="494"/>
      <c r="C3" s="495"/>
      <c r="D3" s="443"/>
      <c r="E3" s="443"/>
      <c r="F3" s="443"/>
      <c r="G3" s="443"/>
      <c r="H3" s="443"/>
      <c r="I3" s="443"/>
      <c r="J3" s="443"/>
      <c r="K3" s="443"/>
      <c r="L3" s="443"/>
      <c r="M3" s="443"/>
      <c r="N3" s="444" t="s">
        <v>5</v>
      </c>
      <c r="O3" s="445"/>
      <c r="P3" s="446"/>
    </row>
    <row r="4" spans="1:16" ht="15" customHeight="1">
      <c r="A4" s="4"/>
      <c r="B4" s="5"/>
      <c r="C4" s="5"/>
      <c r="D4" s="5"/>
      <c r="E4" s="5"/>
      <c r="F4" s="5"/>
      <c r="G4" s="5"/>
      <c r="H4" s="5"/>
      <c r="I4" s="5"/>
      <c r="J4" s="5"/>
      <c r="K4" s="5"/>
      <c r="L4" s="5"/>
      <c r="M4" s="5"/>
      <c r="N4" s="5"/>
      <c r="O4" s="5"/>
      <c r="P4" s="6"/>
    </row>
    <row r="5" spans="1:16" ht="15" customHeight="1">
      <c r="A5" s="7"/>
      <c r="B5" s="8"/>
      <c r="C5" s="8"/>
      <c r="D5" s="8"/>
      <c r="E5" s="8"/>
      <c r="F5" s="8"/>
      <c r="G5" s="8"/>
      <c r="H5" s="8"/>
      <c r="I5" s="8"/>
      <c r="J5" s="8"/>
      <c r="K5" s="8"/>
      <c r="L5" s="8"/>
      <c r="M5" s="8"/>
      <c r="N5" s="8"/>
      <c r="O5" s="8"/>
      <c r="P5" s="9"/>
    </row>
    <row r="6" spans="1:16" ht="15" customHeight="1">
      <c r="A6" s="7"/>
      <c r="B6" s="8"/>
      <c r="C6" s="8"/>
      <c r="D6" s="8"/>
      <c r="E6" s="8"/>
      <c r="F6" s="8"/>
      <c r="G6" s="8"/>
      <c r="H6" s="8"/>
      <c r="I6" s="8"/>
      <c r="J6" s="8"/>
      <c r="K6" s="8"/>
      <c r="L6" s="8"/>
      <c r="M6" s="8"/>
      <c r="N6" s="8"/>
      <c r="O6" s="8"/>
      <c r="P6" s="9"/>
    </row>
    <row r="7" spans="1:16" ht="15" customHeight="1">
      <c r="A7" s="7"/>
      <c r="B7" s="8"/>
      <c r="C7" s="8"/>
      <c r="D7" s="8"/>
      <c r="E7" s="8"/>
      <c r="F7" s="8"/>
      <c r="G7" s="8"/>
      <c r="H7" s="8"/>
      <c r="I7" s="8"/>
      <c r="J7" s="8"/>
      <c r="K7" s="8"/>
      <c r="L7" s="8"/>
      <c r="M7" s="8"/>
      <c r="N7" s="8"/>
      <c r="O7" s="8"/>
      <c r="P7" s="9"/>
    </row>
    <row r="8" spans="1:16" ht="15" customHeight="1">
      <c r="A8" s="7"/>
      <c r="B8" s="8"/>
      <c r="C8" s="8"/>
      <c r="D8" s="8"/>
      <c r="E8" s="8"/>
      <c r="F8" s="8"/>
      <c r="G8" s="8"/>
      <c r="H8" s="8"/>
      <c r="I8" s="8"/>
      <c r="J8" s="8"/>
      <c r="K8" s="8"/>
      <c r="L8" s="8"/>
      <c r="M8" s="8"/>
      <c r="N8" s="8"/>
      <c r="O8" s="8"/>
      <c r="P8" s="9"/>
    </row>
    <row r="9" spans="1:16" ht="15" customHeight="1">
      <c r="A9" s="7"/>
      <c r="B9" s="8"/>
      <c r="C9" s="8"/>
      <c r="D9" s="8"/>
      <c r="E9" s="8"/>
      <c r="F9" s="8"/>
      <c r="G9" s="8"/>
      <c r="H9" s="8"/>
      <c r="I9" s="8"/>
      <c r="J9" s="8"/>
      <c r="K9" s="8"/>
      <c r="L9" s="8"/>
      <c r="M9" s="8"/>
      <c r="N9" s="8"/>
      <c r="O9" s="8"/>
      <c r="P9" s="9"/>
    </row>
    <row r="10" spans="1:16" ht="15" customHeight="1">
      <c r="A10" s="7"/>
      <c r="B10" s="8"/>
      <c r="C10" s="8"/>
      <c r="D10" s="8"/>
      <c r="E10" s="8"/>
      <c r="F10" s="8"/>
      <c r="G10" s="8"/>
      <c r="H10" s="8"/>
      <c r="I10" s="8"/>
      <c r="J10" s="8"/>
      <c r="K10" s="8"/>
      <c r="L10" s="8"/>
      <c r="M10" s="8"/>
      <c r="N10" s="8"/>
      <c r="O10" s="8"/>
      <c r="P10" s="9"/>
    </row>
    <row r="11" spans="1:16" ht="15" customHeight="1">
      <c r="A11" s="7"/>
      <c r="B11" s="8"/>
      <c r="C11" s="8"/>
      <c r="D11" s="8"/>
      <c r="E11" s="8"/>
      <c r="F11" s="8"/>
      <c r="G11" s="8"/>
      <c r="H11" s="8"/>
      <c r="I11" s="8"/>
      <c r="J11" s="8"/>
      <c r="K11" s="8"/>
      <c r="L11" s="8"/>
      <c r="M11" s="8"/>
      <c r="N11" s="8"/>
      <c r="O11" s="8"/>
      <c r="P11" s="9"/>
    </row>
    <row r="12" spans="1:16" ht="15" customHeight="1">
      <c r="A12" s="7"/>
      <c r="B12" s="8"/>
      <c r="C12" s="8"/>
      <c r="D12" s="8"/>
      <c r="E12" s="8"/>
      <c r="F12" s="8"/>
      <c r="G12" s="8"/>
      <c r="H12" s="8"/>
      <c r="I12" s="8"/>
      <c r="J12" s="8"/>
      <c r="K12" s="8"/>
      <c r="L12" s="8"/>
      <c r="M12" s="8"/>
      <c r="N12" s="8"/>
      <c r="O12" s="8"/>
      <c r="P12" s="9"/>
    </row>
    <row r="13" spans="1:16" ht="15" customHeight="1">
      <c r="A13" s="7"/>
      <c r="B13" s="8"/>
      <c r="C13" s="8"/>
      <c r="D13" s="8"/>
      <c r="E13" s="8"/>
      <c r="F13" s="8"/>
      <c r="G13" s="8"/>
      <c r="H13" s="8"/>
      <c r="I13" s="8"/>
      <c r="J13" s="8"/>
      <c r="K13" s="8"/>
      <c r="L13" s="8"/>
      <c r="M13" s="8"/>
      <c r="N13" s="8"/>
      <c r="O13" s="8"/>
      <c r="P13" s="9"/>
    </row>
    <row r="14" spans="1:16" ht="15" customHeight="1">
      <c r="A14" s="7"/>
      <c r="B14" s="8"/>
      <c r="C14" s="8"/>
      <c r="D14" s="8"/>
      <c r="E14" s="8"/>
      <c r="F14" s="8"/>
      <c r="G14" s="8"/>
      <c r="H14" s="8"/>
      <c r="I14" s="8"/>
      <c r="J14" s="8"/>
      <c r="K14" s="8"/>
      <c r="L14" s="8"/>
      <c r="M14" s="8"/>
      <c r="N14" s="8"/>
      <c r="O14" s="8"/>
      <c r="P14" s="9"/>
    </row>
    <row r="15" spans="1:16" ht="15" customHeight="1">
      <c r="A15" s="7"/>
      <c r="B15" s="8"/>
      <c r="C15" s="8"/>
      <c r="D15" s="8"/>
      <c r="E15" s="8"/>
      <c r="F15" s="8"/>
      <c r="G15" s="8"/>
      <c r="H15" s="8"/>
      <c r="I15" s="8"/>
      <c r="J15" s="8"/>
      <c r="K15" s="8"/>
      <c r="L15" s="8"/>
      <c r="M15" s="8"/>
      <c r="N15" s="8"/>
      <c r="O15" s="8"/>
      <c r="P15" s="9"/>
    </row>
    <row r="16" spans="1:16" ht="15" customHeight="1">
      <c r="A16" s="7"/>
      <c r="B16" s="8"/>
      <c r="C16" s="8"/>
      <c r="D16" s="8"/>
      <c r="E16" s="8"/>
      <c r="F16" s="8"/>
      <c r="G16" s="8"/>
      <c r="H16" s="8"/>
      <c r="I16" s="8"/>
      <c r="J16" s="8"/>
      <c r="K16" s="8"/>
      <c r="L16" s="8"/>
      <c r="M16" s="8"/>
      <c r="N16" s="8"/>
      <c r="O16" s="8"/>
      <c r="P16" s="9"/>
    </row>
    <row r="17" spans="1:16" ht="15" customHeight="1">
      <c r="A17" s="7"/>
      <c r="B17" s="8"/>
      <c r="C17" s="8"/>
      <c r="D17" s="8"/>
      <c r="E17" s="8"/>
      <c r="F17" s="8"/>
      <c r="G17" s="8"/>
      <c r="H17" s="8"/>
      <c r="I17" s="8"/>
      <c r="J17" s="8"/>
      <c r="K17" s="8"/>
      <c r="L17" s="8"/>
      <c r="M17" s="8"/>
      <c r="N17" s="8"/>
      <c r="O17" s="8"/>
      <c r="P17" s="9"/>
    </row>
    <row r="18" spans="1:16" ht="15" customHeight="1">
      <c r="A18" s="7"/>
      <c r="B18" s="8"/>
      <c r="C18" s="8"/>
      <c r="D18" s="8"/>
      <c r="E18" s="8"/>
      <c r="F18" s="8"/>
      <c r="G18" s="8"/>
      <c r="H18" s="8"/>
      <c r="I18" s="8"/>
      <c r="J18" s="8"/>
      <c r="K18" s="8"/>
      <c r="L18" s="8"/>
      <c r="M18" s="8"/>
      <c r="N18" s="8"/>
      <c r="O18" s="8"/>
      <c r="P18" s="9"/>
    </row>
    <row r="19" spans="1:16" ht="15" customHeight="1">
      <c r="A19" s="7"/>
      <c r="B19" s="8"/>
      <c r="C19" s="8"/>
      <c r="D19" s="8"/>
      <c r="E19" s="8"/>
      <c r="F19" s="8"/>
      <c r="G19" s="8"/>
      <c r="H19" s="8"/>
      <c r="I19" s="8"/>
      <c r="J19" s="8"/>
      <c r="K19" s="8"/>
      <c r="L19" s="8"/>
      <c r="M19" s="8"/>
      <c r="N19" s="8"/>
      <c r="O19" s="8"/>
      <c r="P19" s="9"/>
    </row>
    <row r="20" spans="1:16" ht="15" customHeight="1">
      <c r="A20" s="7"/>
      <c r="B20" s="8"/>
      <c r="C20" s="8"/>
      <c r="D20" s="8"/>
      <c r="E20" s="8"/>
      <c r="F20" s="8"/>
      <c r="G20" s="8"/>
      <c r="H20" s="8"/>
      <c r="I20" s="8"/>
      <c r="J20" s="8"/>
      <c r="K20" s="8"/>
      <c r="L20" s="8"/>
      <c r="M20" s="8"/>
      <c r="N20" s="8"/>
      <c r="O20" s="8"/>
      <c r="P20" s="9"/>
    </row>
    <row r="21" spans="1:16" ht="15" customHeight="1">
      <c r="A21" s="7"/>
      <c r="B21" s="8"/>
      <c r="C21" s="8"/>
      <c r="D21" s="8"/>
      <c r="E21" s="8"/>
      <c r="F21" s="8"/>
      <c r="G21" s="8"/>
      <c r="H21" s="8"/>
      <c r="I21" s="8"/>
      <c r="J21" s="8"/>
      <c r="K21" s="8"/>
      <c r="L21" s="8"/>
      <c r="M21" s="8"/>
      <c r="N21" s="8"/>
      <c r="O21" s="8"/>
      <c r="P21" s="9"/>
    </row>
    <row r="22" spans="1:16" ht="15" customHeight="1">
      <c r="A22" s="7"/>
      <c r="B22" s="8"/>
      <c r="C22" s="8"/>
      <c r="D22" s="8"/>
      <c r="E22" s="8"/>
      <c r="F22" s="8"/>
      <c r="G22" s="8"/>
      <c r="H22" s="8"/>
      <c r="I22" s="8"/>
      <c r="J22" s="8"/>
      <c r="K22" s="8"/>
      <c r="L22" s="8"/>
      <c r="M22" s="8"/>
      <c r="N22" s="8"/>
      <c r="O22" s="8"/>
      <c r="P22" s="9"/>
    </row>
    <row r="23" spans="1:16" ht="15" customHeight="1">
      <c r="A23" s="7"/>
      <c r="B23" s="8"/>
      <c r="C23" s="8"/>
      <c r="D23" s="8"/>
      <c r="E23" s="8"/>
      <c r="F23" s="8"/>
      <c r="G23" s="8"/>
      <c r="H23" s="8"/>
      <c r="I23" s="8"/>
      <c r="J23" s="8"/>
      <c r="K23" s="8"/>
      <c r="L23" s="8"/>
      <c r="M23" s="8"/>
      <c r="N23" s="8"/>
      <c r="O23" s="8"/>
      <c r="P23" s="9"/>
    </row>
    <row r="24" spans="1:16" ht="15" customHeight="1">
      <c r="A24" s="7"/>
      <c r="B24" s="8"/>
      <c r="C24" s="8"/>
      <c r="D24" s="8"/>
      <c r="E24" s="8"/>
      <c r="F24" s="8"/>
      <c r="G24" s="8"/>
      <c r="H24" s="8"/>
      <c r="I24" s="8"/>
      <c r="J24" s="8"/>
      <c r="K24" s="8"/>
      <c r="L24" s="8"/>
      <c r="M24" s="8"/>
      <c r="N24" s="8"/>
      <c r="O24" s="8"/>
      <c r="P24" s="9"/>
    </row>
    <row r="25" spans="1:16" ht="15" customHeight="1">
      <c r="A25" s="7"/>
      <c r="B25" s="8"/>
      <c r="C25" s="8"/>
      <c r="D25" s="8"/>
      <c r="E25" s="8"/>
      <c r="F25" s="8"/>
      <c r="G25" s="8"/>
      <c r="H25" s="8"/>
      <c r="I25" s="8"/>
      <c r="J25" s="8"/>
      <c r="K25" s="8"/>
      <c r="L25" s="8"/>
      <c r="M25" s="8"/>
      <c r="N25" s="8"/>
      <c r="O25" s="8"/>
      <c r="P25" s="9"/>
    </row>
    <row r="26" spans="1:16" ht="15" customHeight="1">
      <c r="A26" s="7"/>
      <c r="B26" s="8"/>
      <c r="C26" s="8"/>
      <c r="D26" s="8"/>
      <c r="E26" s="8"/>
      <c r="F26" s="8"/>
      <c r="G26" s="8"/>
      <c r="H26" s="8"/>
      <c r="I26" s="8"/>
      <c r="J26" s="8"/>
      <c r="K26" s="8"/>
      <c r="L26" s="8"/>
      <c r="M26" s="8"/>
      <c r="N26" s="8"/>
      <c r="O26" s="8"/>
      <c r="P26" s="9"/>
    </row>
    <row r="27" spans="1:16" ht="15" customHeight="1">
      <c r="A27" s="7"/>
      <c r="B27" s="8"/>
      <c r="C27" s="8"/>
      <c r="D27" s="8"/>
      <c r="E27" s="8"/>
      <c r="F27" s="8"/>
      <c r="G27" s="8"/>
      <c r="H27" s="8"/>
      <c r="I27" s="8"/>
      <c r="J27" s="8"/>
      <c r="K27" s="8"/>
      <c r="L27" s="8"/>
      <c r="M27" s="8"/>
      <c r="N27" s="8"/>
      <c r="O27" s="8"/>
      <c r="P27" s="9"/>
    </row>
    <row r="28" spans="1:16" ht="15" customHeight="1">
      <c r="A28" s="7"/>
      <c r="B28" s="8"/>
      <c r="C28" s="8"/>
      <c r="D28" s="8"/>
      <c r="E28" s="8"/>
      <c r="F28" s="8"/>
      <c r="G28" s="8"/>
      <c r="H28" s="8"/>
      <c r="I28" s="8"/>
      <c r="J28" s="8"/>
      <c r="K28" s="8"/>
      <c r="L28" s="8"/>
      <c r="M28" s="8"/>
      <c r="N28" s="8"/>
      <c r="O28" s="8"/>
      <c r="P28" s="9"/>
    </row>
    <row r="29" spans="1:16" ht="15" customHeight="1">
      <c r="A29" s="10"/>
      <c r="B29" s="11"/>
      <c r="C29" s="11"/>
      <c r="D29" s="11"/>
      <c r="E29" s="11"/>
      <c r="F29" s="11"/>
      <c r="G29" s="11"/>
      <c r="H29" s="11"/>
      <c r="I29" s="11"/>
      <c r="J29" s="11"/>
      <c r="K29" s="11"/>
      <c r="L29" s="11"/>
      <c r="M29" s="11"/>
      <c r="N29" s="11"/>
      <c r="O29" s="11"/>
      <c r="P29" s="12"/>
    </row>
  </sheetData>
  <mergeCells count="6">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19"/>
  <sheetViews>
    <sheetView showGridLines="0" topLeftCell="A12" workbookViewId="0">
      <selection activeCell="A26" sqref="A26"/>
    </sheetView>
  </sheetViews>
  <sheetFormatPr baseColWidth="10" defaultColWidth="11.453125" defaultRowHeight="15" customHeight="1"/>
  <cols>
    <col min="1" max="12" width="11.453125" style="1" customWidth="1"/>
    <col min="13" max="13" width="6.453125" style="1" customWidth="1"/>
    <col min="14" max="17" width="11.453125" style="1" customWidth="1"/>
    <col min="18" max="16384" width="11.453125" style="1"/>
  </cols>
  <sheetData>
    <row r="1" spans="1:16" ht="20.25" customHeight="1">
      <c r="A1" s="487" t="s">
        <v>0</v>
      </c>
      <c r="B1" s="488"/>
      <c r="C1" s="489"/>
      <c r="D1" s="437" t="s">
        <v>1</v>
      </c>
      <c r="E1" s="438"/>
      <c r="F1" s="438"/>
      <c r="G1" s="438"/>
      <c r="H1" s="438"/>
      <c r="I1" s="438"/>
      <c r="J1" s="438"/>
      <c r="K1" s="438"/>
      <c r="L1" s="438"/>
      <c r="M1" s="438"/>
      <c r="N1" s="439" t="s">
        <v>2</v>
      </c>
      <c r="O1" s="440"/>
      <c r="P1" s="441"/>
    </row>
    <row r="2" spans="1:16" ht="19.5" customHeight="1">
      <c r="A2" s="490"/>
      <c r="B2" s="491"/>
      <c r="C2" s="492"/>
      <c r="D2" s="442" t="s">
        <v>3</v>
      </c>
      <c r="E2" s="443"/>
      <c r="F2" s="443"/>
      <c r="G2" s="443"/>
      <c r="H2" s="443"/>
      <c r="I2" s="443"/>
      <c r="J2" s="443"/>
      <c r="K2" s="443"/>
      <c r="L2" s="443"/>
      <c r="M2" s="443"/>
      <c r="N2" s="444" t="s">
        <v>4</v>
      </c>
      <c r="O2" s="445"/>
      <c r="P2" s="446"/>
    </row>
    <row r="3" spans="1:16" ht="62.5" customHeight="1">
      <c r="A3" s="493"/>
      <c r="B3" s="494"/>
      <c r="C3" s="495"/>
      <c r="D3" s="443"/>
      <c r="E3" s="443"/>
      <c r="F3" s="443"/>
      <c r="G3" s="443"/>
      <c r="H3" s="443"/>
      <c r="I3" s="443"/>
      <c r="J3" s="443"/>
      <c r="K3" s="443"/>
      <c r="L3" s="443"/>
      <c r="M3" s="443"/>
      <c r="N3" s="444" t="s">
        <v>5</v>
      </c>
      <c r="O3" s="445"/>
      <c r="P3" s="446"/>
    </row>
    <row r="4" spans="1:16" ht="15" customHeight="1">
      <c r="A4" s="24"/>
      <c r="B4" s="25"/>
      <c r="C4" s="25"/>
      <c r="D4" s="25"/>
      <c r="E4" s="25"/>
      <c r="F4" s="25"/>
      <c r="G4" s="25"/>
      <c r="H4" s="25"/>
      <c r="I4" s="25"/>
      <c r="J4" s="25"/>
      <c r="K4" s="25"/>
      <c r="L4" s="25"/>
      <c r="M4" s="25"/>
      <c r="N4" s="25"/>
      <c r="O4" s="25"/>
      <c r="P4" s="26"/>
    </row>
    <row r="5" spans="1:16" ht="15" customHeight="1">
      <c r="A5" s="27"/>
      <c r="B5" s="28"/>
      <c r="C5" s="28"/>
      <c r="D5" s="28"/>
      <c r="E5" s="28"/>
      <c r="F5" s="28"/>
      <c r="G5" s="28"/>
      <c r="H5" s="28"/>
      <c r="I5" s="28"/>
      <c r="J5" s="28"/>
      <c r="K5" s="28"/>
      <c r="L5" s="28"/>
      <c r="M5" s="28"/>
      <c r="N5" s="28"/>
      <c r="O5" s="28"/>
      <c r="P5" s="29"/>
    </row>
    <row r="6" spans="1:16" ht="14.25" customHeight="1">
      <c r="A6" s="27"/>
      <c r="B6" s="28"/>
      <c r="C6" s="28"/>
      <c r="D6" s="28"/>
      <c r="E6" s="28"/>
      <c r="F6" s="28"/>
      <c r="G6" s="28"/>
      <c r="H6" s="28"/>
      <c r="I6" s="28"/>
      <c r="J6" s="28"/>
      <c r="K6" s="28"/>
      <c r="L6" s="28"/>
      <c r="M6" s="28"/>
      <c r="N6" s="28"/>
      <c r="O6" s="28"/>
      <c r="P6" s="29"/>
    </row>
    <row r="7" spans="1:16" ht="23.25" customHeight="1">
      <c r="A7" s="27"/>
      <c r="B7" s="28"/>
      <c r="C7" s="28"/>
      <c r="D7" s="28"/>
      <c r="E7" s="28"/>
      <c r="F7" s="28"/>
      <c r="G7" s="28"/>
      <c r="H7" s="28"/>
      <c r="I7" s="28"/>
      <c r="J7" s="28"/>
      <c r="K7" s="28"/>
      <c r="L7" s="28"/>
      <c r="M7" s="28"/>
      <c r="N7" s="28"/>
      <c r="O7" s="28"/>
      <c r="P7" s="29"/>
    </row>
    <row r="8" spans="1:16" ht="18.75" customHeight="1">
      <c r="A8" s="27"/>
      <c r="B8" s="28"/>
      <c r="C8" s="28"/>
      <c r="D8" s="28"/>
      <c r="E8" s="496" t="s">
        <v>13</v>
      </c>
      <c r="F8" s="497"/>
      <c r="G8" s="497"/>
      <c r="H8" s="497"/>
      <c r="I8" s="497"/>
      <c r="J8" s="497"/>
      <c r="K8" s="497"/>
      <c r="L8" s="497"/>
      <c r="M8" s="497"/>
      <c r="N8" s="28"/>
      <c r="O8" s="28"/>
      <c r="P8" s="29"/>
    </row>
    <row r="9" spans="1:16" ht="24" customHeight="1">
      <c r="A9" s="27"/>
      <c r="B9" s="28"/>
      <c r="C9" s="28"/>
      <c r="D9" s="28"/>
      <c r="E9" s="28"/>
      <c r="F9" s="28"/>
      <c r="G9" s="28"/>
      <c r="H9" s="28"/>
      <c r="I9" s="28"/>
      <c r="J9" s="28"/>
      <c r="K9" s="28"/>
      <c r="L9" s="28"/>
      <c r="M9" s="28"/>
      <c r="N9" s="28"/>
      <c r="O9" s="28"/>
      <c r="P9" s="29"/>
    </row>
    <row r="10" spans="1:16" ht="51.75" customHeight="1">
      <c r="A10" s="27"/>
      <c r="B10" s="28"/>
      <c r="C10" s="28"/>
      <c r="D10" s="28"/>
      <c r="E10" s="28"/>
      <c r="F10" s="28"/>
      <c r="G10" s="28"/>
      <c r="H10" s="28"/>
      <c r="I10" s="28"/>
      <c r="J10" s="28"/>
      <c r="K10" s="28"/>
      <c r="L10" s="28"/>
      <c r="M10" s="28"/>
      <c r="N10" s="28"/>
      <c r="O10" s="28"/>
      <c r="P10" s="29"/>
    </row>
    <row r="11" spans="1:16" ht="15" customHeight="1">
      <c r="A11" s="27"/>
      <c r="B11" s="28"/>
      <c r="C11" s="28"/>
      <c r="D11" s="28"/>
      <c r="E11" s="28"/>
      <c r="F11" s="28"/>
      <c r="G11" s="28"/>
      <c r="H11" s="28"/>
      <c r="I11" s="28"/>
      <c r="J11" s="28"/>
      <c r="K11" s="28"/>
      <c r="L11" s="28"/>
      <c r="M11" s="28"/>
      <c r="N11" s="28"/>
      <c r="O11" s="28"/>
      <c r="P11" s="29"/>
    </row>
    <row r="12" spans="1:16" ht="15" customHeight="1">
      <c r="A12" s="27"/>
      <c r="B12" s="28"/>
      <c r="C12" s="28"/>
      <c r="D12" s="28"/>
      <c r="E12" s="28"/>
      <c r="F12" s="28"/>
      <c r="G12" s="28"/>
      <c r="H12" s="28"/>
      <c r="I12" s="28"/>
      <c r="J12" s="28"/>
      <c r="K12" s="28"/>
      <c r="L12" s="28"/>
      <c r="M12" s="28"/>
      <c r="N12" s="28"/>
      <c r="O12" s="28"/>
      <c r="P12" s="29"/>
    </row>
    <row r="13" spans="1:16" ht="36" customHeight="1">
      <c r="A13" s="27"/>
      <c r="B13" s="28"/>
      <c r="C13" s="28"/>
      <c r="D13" s="28"/>
      <c r="E13" s="28"/>
      <c r="F13" s="28"/>
      <c r="G13" s="28"/>
      <c r="H13" s="28"/>
      <c r="I13" s="28"/>
      <c r="J13" s="28"/>
      <c r="K13" s="28"/>
      <c r="L13" s="28"/>
      <c r="M13" s="28"/>
      <c r="N13" s="28"/>
      <c r="O13" s="28"/>
      <c r="P13" s="29"/>
    </row>
    <row r="14" spans="1:16" ht="15" customHeight="1">
      <c r="A14" s="27"/>
      <c r="B14" s="28"/>
      <c r="C14" s="28"/>
      <c r="D14" s="28"/>
      <c r="E14" s="28"/>
      <c r="F14" s="28"/>
      <c r="G14" s="28"/>
      <c r="H14" s="28"/>
      <c r="I14" s="28"/>
      <c r="J14" s="28"/>
      <c r="K14" s="28"/>
      <c r="L14" s="28"/>
      <c r="M14" s="28"/>
      <c r="N14" s="28"/>
      <c r="O14" s="28"/>
      <c r="P14" s="29"/>
    </row>
    <row r="15" spans="1:16" ht="15" customHeight="1">
      <c r="A15" s="27"/>
      <c r="B15" s="28"/>
      <c r="C15" s="28"/>
      <c r="D15" s="28"/>
      <c r="E15" s="28"/>
      <c r="F15" s="28"/>
      <c r="G15" s="28"/>
      <c r="H15" s="28"/>
      <c r="I15" s="28"/>
      <c r="J15" s="28"/>
      <c r="K15" s="28"/>
      <c r="L15" s="28"/>
      <c r="M15" s="28"/>
      <c r="N15" s="28"/>
      <c r="O15" s="28"/>
      <c r="P15" s="29"/>
    </row>
    <row r="16" spans="1:16" ht="41.25" customHeight="1">
      <c r="A16" s="27"/>
      <c r="B16" s="28"/>
      <c r="C16" s="28"/>
      <c r="D16" s="28"/>
      <c r="E16" s="28"/>
      <c r="F16" s="28"/>
      <c r="G16" s="28"/>
      <c r="H16" s="28"/>
      <c r="I16" s="28"/>
      <c r="J16" s="28"/>
      <c r="K16" s="28"/>
      <c r="L16" s="28"/>
      <c r="M16" s="28"/>
      <c r="N16" s="28"/>
      <c r="O16" s="28"/>
      <c r="P16" s="29"/>
    </row>
    <row r="17" spans="1:16" ht="15" customHeight="1">
      <c r="A17" s="27"/>
      <c r="B17" s="28"/>
      <c r="C17" s="28"/>
      <c r="D17" s="28"/>
      <c r="E17" s="28"/>
      <c r="F17" s="28"/>
      <c r="G17" s="28"/>
      <c r="H17" s="28"/>
      <c r="I17" s="28"/>
      <c r="J17" s="28"/>
      <c r="K17" s="28"/>
      <c r="L17" s="28"/>
      <c r="M17" s="28"/>
      <c r="N17" s="28"/>
      <c r="O17" s="28"/>
      <c r="P17" s="29"/>
    </row>
    <row r="18" spans="1:16" ht="24" customHeight="1">
      <c r="A18" s="27"/>
      <c r="B18" s="28"/>
      <c r="C18" s="28"/>
      <c r="D18" s="28"/>
      <c r="E18" s="28"/>
      <c r="F18" s="28"/>
      <c r="G18" s="28"/>
      <c r="H18" s="28"/>
      <c r="I18" s="28"/>
      <c r="J18" s="28"/>
      <c r="K18" s="28"/>
      <c r="L18" s="28"/>
      <c r="M18" s="28"/>
      <c r="N18" s="28"/>
      <c r="O18" s="28"/>
      <c r="P18" s="29"/>
    </row>
    <row r="19" spans="1:16" ht="59.25" customHeight="1">
      <c r="A19" s="30"/>
      <c r="B19" s="31"/>
      <c r="C19" s="31"/>
      <c r="D19" s="31"/>
      <c r="E19" s="31"/>
      <c r="F19" s="31"/>
      <c r="G19" s="31"/>
      <c r="H19" s="31"/>
      <c r="I19" s="31"/>
      <c r="J19" s="31"/>
      <c r="K19" s="31"/>
      <c r="L19" s="31"/>
      <c r="M19" s="31"/>
      <c r="N19" s="31"/>
      <c r="O19" s="31"/>
      <c r="P19" s="32"/>
    </row>
  </sheetData>
  <mergeCells count="7">
    <mergeCell ref="E8:M8"/>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0"/>
  <sheetViews>
    <sheetView showGridLines="0" topLeftCell="L15" workbookViewId="0">
      <selection activeCell="A29" sqref="A29"/>
    </sheetView>
  </sheetViews>
  <sheetFormatPr baseColWidth="10" defaultColWidth="11.453125" defaultRowHeight="15" customHeight="1"/>
  <cols>
    <col min="1" max="12" width="11.453125" style="1" customWidth="1"/>
    <col min="13" max="13" width="6.453125" style="1" customWidth="1"/>
    <col min="14" max="17" width="11.453125" style="1" customWidth="1"/>
    <col min="18" max="16384" width="11.453125" style="1"/>
  </cols>
  <sheetData>
    <row r="1" spans="1:16" ht="20.25" customHeight="1">
      <c r="A1" s="487" t="s">
        <v>0</v>
      </c>
      <c r="B1" s="488"/>
      <c r="C1" s="489"/>
      <c r="D1" s="437" t="s">
        <v>1</v>
      </c>
      <c r="E1" s="438"/>
      <c r="F1" s="438"/>
      <c r="G1" s="438"/>
      <c r="H1" s="438"/>
      <c r="I1" s="438"/>
      <c r="J1" s="438"/>
      <c r="K1" s="438"/>
      <c r="L1" s="438"/>
      <c r="M1" s="438"/>
      <c r="N1" s="439" t="s">
        <v>2</v>
      </c>
      <c r="O1" s="440"/>
      <c r="P1" s="441"/>
    </row>
    <row r="2" spans="1:16" ht="19.5" customHeight="1">
      <c r="A2" s="490"/>
      <c r="B2" s="491"/>
      <c r="C2" s="492"/>
      <c r="D2" s="442" t="s">
        <v>3</v>
      </c>
      <c r="E2" s="443"/>
      <c r="F2" s="443"/>
      <c r="G2" s="443"/>
      <c r="H2" s="443"/>
      <c r="I2" s="443"/>
      <c r="J2" s="443"/>
      <c r="K2" s="443"/>
      <c r="L2" s="443"/>
      <c r="M2" s="443"/>
      <c r="N2" s="444" t="s">
        <v>4</v>
      </c>
      <c r="O2" s="445"/>
      <c r="P2" s="446"/>
    </row>
    <row r="3" spans="1:16" ht="61.5" customHeight="1">
      <c r="A3" s="493"/>
      <c r="B3" s="494"/>
      <c r="C3" s="495"/>
      <c r="D3" s="443"/>
      <c r="E3" s="443"/>
      <c r="F3" s="443"/>
      <c r="G3" s="443"/>
      <c r="H3" s="443"/>
      <c r="I3" s="443"/>
      <c r="J3" s="443"/>
      <c r="K3" s="443"/>
      <c r="L3" s="443"/>
      <c r="M3" s="443"/>
      <c r="N3" s="444" t="s">
        <v>5</v>
      </c>
      <c r="O3" s="445"/>
      <c r="P3" s="446"/>
    </row>
    <row r="4" spans="1:16" ht="15" customHeight="1">
      <c r="A4" s="24"/>
      <c r="B4" s="25"/>
      <c r="C4" s="25"/>
      <c r="D4" s="25"/>
      <c r="E4" s="25"/>
      <c r="F4" s="25"/>
      <c r="G4" s="25"/>
      <c r="H4" s="25"/>
      <c r="I4" s="25"/>
      <c r="J4" s="25"/>
      <c r="K4" s="25"/>
      <c r="L4" s="25"/>
      <c r="M4" s="25"/>
      <c r="N4" s="25"/>
      <c r="O4" s="25"/>
      <c r="P4" s="26"/>
    </row>
    <row r="5" spans="1:16" ht="15" customHeight="1">
      <c r="A5" s="27"/>
      <c r="B5" s="28"/>
      <c r="C5" s="28"/>
      <c r="D5" s="28"/>
      <c r="E5" s="28"/>
      <c r="F5" s="28"/>
      <c r="G5" s="28"/>
      <c r="H5" s="28"/>
      <c r="I5" s="28"/>
      <c r="J5" s="28"/>
      <c r="K5" s="28"/>
      <c r="L5" s="28"/>
      <c r="M5" s="28"/>
      <c r="N5" s="28"/>
      <c r="O5" s="28"/>
      <c r="P5" s="29"/>
    </row>
    <row r="6" spans="1:16" ht="15" customHeight="1">
      <c r="A6" s="27"/>
      <c r="B6" s="28"/>
      <c r="C6" s="28"/>
      <c r="D6" s="28"/>
      <c r="E6" s="28"/>
      <c r="F6" s="28"/>
      <c r="G6" s="28"/>
      <c r="H6" s="28"/>
      <c r="I6" s="28"/>
      <c r="J6" s="28"/>
      <c r="K6" s="28"/>
      <c r="L6" s="28"/>
      <c r="M6" s="28"/>
      <c r="N6" s="28"/>
      <c r="O6" s="28"/>
      <c r="P6" s="29"/>
    </row>
    <row r="7" spans="1:16" ht="14.25" customHeight="1">
      <c r="A7" s="27"/>
      <c r="B7" s="28"/>
      <c r="C7" s="28"/>
      <c r="D7" s="28"/>
      <c r="E7" s="28"/>
      <c r="F7" s="28"/>
      <c r="G7" s="28"/>
      <c r="H7" s="28"/>
      <c r="I7" s="28"/>
      <c r="J7" s="28"/>
      <c r="K7" s="28"/>
      <c r="L7" s="28"/>
      <c r="M7" s="28"/>
      <c r="N7" s="28"/>
      <c r="O7" s="28"/>
      <c r="P7" s="29"/>
    </row>
    <row r="8" spans="1:16" ht="23.25" customHeight="1">
      <c r="A8" s="27"/>
      <c r="B8" s="28"/>
      <c r="C8" s="28"/>
      <c r="D8" s="28"/>
      <c r="E8" s="28"/>
      <c r="F8" s="28"/>
      <c r="G8" s="28"/>
      <c r="H8" s="28"/>
      <c r="I8" s="28"/>
      <c r="J8" s="28"/>
      <c r="K8" s="28"/>
      <c r="L8" s="28"/>
      <c r="M8" s="28"/>
      <c r="N8" s="28"/>
      <c r="O8" s="28"/>
      <c r="P8" s="29"/>
    </row>
    <row r="9" spans="1:16" ht="18" customHeight="1">
      <c r="A9" s="27"/>
      <c r="B9" s="28"/>
      <c r="C9" s="28"/>
      <c r="D9" s="28"/>
      <c r="E9" s="498" t="s">
        <v>14</v>
      </c>
      <c r="F9" s="499"/>
      <c r="G9" s="499"/>
      <c r="H9" s="499"/>
      <c r="I9" s="499"/>
      <c r="J9" s="499"/>
      <c r="K9" s="499"/>
      <c r="L9" s="499"/>
      <c r="M9" s="499"/>
      <c r="N9" s="28"/>
      <c r="O9" s="28"/>
      <c r="P9" s="29"/>
    </row>
    <row r="10" spans="1:16" ht="24" customHeight="1">
      <c r="A10" s="27"/>
      <c r="B10" s="28"/>
      <c r="C10" s="28"/>
      <c r="D10" s="28"/>
      <c r="E10" s="28"/>
      <c r="F10" s="28"/>
      <c r="G10" s="28"/>
      <c r="H10" s="28"/>
      <c r="I10" s="28"/>
      <c r="J10" s="28"/>
      <c r="K10" s="28"/>
      <c r="L10" s="28"/>
      <c r="M10" s="28"/>
      <c r="N10" s="28"/>
      <c r="O10" s="28"/>
      <c r="P10" s="29"/>
    </row>
    <row r="11" spans="1:16" ht="51.75" customHeight="1">
      <c r="A11" s="27"/>
      <c r="B11" s="28"/>
      <c r="C11" s="28"/>
      <c r="D11" s="28"/>
      <c r="E11" s="28"/>
      <c r="F11" s="28"/>
      <c r="G11" s="28"/>
      <c r="H11" s="28"/>
      <c r="I11" s="28"/>
      <c r="J11" s="28"/>
      <c r="K11" s="28"/>
      <c r="L11" s="28"/>
      <c r="M11" s="28"/>
      <c r="N11" s="28"/>
      <c r="O11" s="28"/>
      <c r="P11" s="29"/>
    </row>
    <row r="12" spans="1:16" ht="15" customHeight="1">
      <c r="A12" s="27"/>
      <c r="B12" s="28"/>
      <c r="C12" s="28"/>
      <c r="D12" s="28"/>
      <c r="E12" s="28"/>
      <c r="F12" s="28"/>
      <c r="G12" s="28"/>
      <c r="H12" s="28"/>
      <c r="I12" s="28"/>
      <c r="J12" s="28"/>
      <c r="K12" s="28"/>
      <c r="L12" s="28"/>
      <c r="M12" s="28"/>
      <c r="N12" s="28"/>
      <c r="O12" s="28"/>
      <c r="P12" s="29"/>
    </row>
    <row r="13" spans="1:16" ht="15" customHeight="1">
      <c r="A13" s="27"/>
      <c r="B13" s="28"/>
      <c r="C13" s="28"/>
      <c r="D13" s="28"/>
      <c r="E13" s="28"/>
      <c r="F13" s="28"/>
      <c r="G13" s="28"/>
      <c r="H13" s="28"/>
      <c r="I13" s="28"/>
      <c r="J13" s="28"/>
      <c r="K13" s="28"/>
      <c r="L13" s="28"/>
      <c r="M13" s="28"/>
      <c r="N13" s="28"/>
      <c r="O13" s="28"/>
      <c r="P13" s="29"/>
    </row>
    <row r="14" spans="1:16" ht="36" customHeight="1">
      <c r="A14" s="27"/>
      <c r="B14" s="28"/>
      <c r="C14" s="28"/>
      <c r="D14" s="28"/>
      <c r="E14" s="28"/>
      <c r="F14" s="28"/>
      <c r="G14" s="28"/>
      <c r="H14" s="28"/>
      <c r="I14" s="28"/>
      <c r="J14" s="28"/>
      <c r="K14" s="28"/>
      <c r="L14" s="28"/>
      <c r="M14" s="28"/>
      <c r="N14" s="28"/>
      <c r="O14" s="28"/>
      <c r="P14" s="29"/>
    </row>
    <row r="15" spans="1:16" ht="15" customHeight="1">
      <c r="A15" s="27"/>
      <c r="B15" s="28"/>
      <c r="C15" s="28"/>
      <c r="D15" s="28"/>
      <c r="E15" s="28"/>
      <c r="F15" s="28"/>
      <c r="G15" s="28"/>
      <c r="H15" s="28"/>
      <c r="I15" s="28"/>
      <c r="J15" s="28"/>
      <c r="K15" s="28"/>
      <c r="L15" s="28"/>
      <c r="M15" s="28"/>
      <c r="N15" s="28"/>
      <c r="O15" s="28"/>
      <c r="P15" s="29"/>
    </row>
    <row r="16" spans="1:16" ht="15" customHeight="1">
      <c r="A16" s="27"/>
      <c r="B16" s="28"/>
      <c r="C16" s="28"/>
      <c r="D16" s="28"/>
      <c r="E16" s="28"/>
      <c r="F16" s="28"/>
      <c r="G16" s="28"/>
      <c r="H16" s="28"/>
      <c r="I16" s="28"/>
      <c r="J16" s="28"/>
      <c r="K16" s="28"/>
      <c r="L16" s="28"/>
      <c r="M16" s="28"/>
      <c r="N16" s="28"/>
      <c r="O16" s="28"/>
      <c r="P16" s="29"/>
    </row>
    <row r="17" spans="1:16" ht="41.25" customHeight="1">
      <c r="A17" s="27"/>
      <c r="B17" s="28"/>
      <c r="C17" s="28"/>
      <c r="D17" s="28"/>
      <c r="E17" s="28"/>
      <c r="F17" s="28"/>
      <c r="G17" s="28"/>
      <c r="H17" s="28"/>
      <c r="I17" s="28"/>
      <c r="J17" s="28"/>
      <c r="K17" s="28"/>
      <c r="L17" s="28"/>
      <c r="M17" s="28"/>
      <c r="N17" s="28"/>
      <c r="O17" s="28"/>
      <c r="P17" s="29"/>
    </row>
    <row r="18" spans="1:16" ht="15" customHeight="1">
      <c r="A18" s="27"/>
      <c r="B18" s="28"/>
      <c r="C18" s="28"/>
      <c r="D18" s="28"/>
      <c r="E18" s="28"/>
      <c r="F18" s="28"/>
      <c r="G18" s="28"/>
      <c r="H18" s="28"/>
      <c r="I18" s="28"/>
      <c r="J18" s="28"/>
      <c r="K18" s="28"/>
      <c r="L18" s="28"/>
      <c r="M18" s="28"/>
      <c r="N18" s="28"/>
      <c r="O18" s="28"/>
      <c r="P18" s="29"/>
    </row>
    <row r="19" spans="1:16" ht="24" customHeight="1">
      <c r="A19" s="27"/>
      <c r="B19" s="28"/>
      <c r="C19" s="28"/>
      <c r="D19" s="28"/>
      <c r="E19" s="28"/>
      <c r="F19" s="28"/>
      <c r="G19" s="28"/>
      <c r="H19" s="28"/>
      <c r="I19" s="28"/>
      <c r="J19" s="28"/>
      <c r="K19" s="28"/>
      <c r="L19" s="28"/>
      <c r="M19" s="28"/>
      <c r="N19" s="28"/>
      <c r="O19" s="28"/>
      <c r="P19" s="29"/>
    </row>
    <row r="20" spans="1:16" ht="59.25" customHeight="1">
      <c r="A20" s="30"/>
      <c r="B20" s="31"/>
      <c r="C20" s="31"/>
      <c r="D20" s="31"/>
      <c r="E20" s="31"/>
      <c r="F20" s="31"/>
      <c r="G20" s="31"/>
      <c r="H20" s="31"/>
      <c r="I20" s="31"/>
      <c r="J20" s="31"/>
      <c r="K20" s="31"/>
      <c r="L20" s="31"/>
      <c r="M20" s="31"/>
      <c r="N20" s="31"/>
      <c r="O20" s="31"/>
      <c r="P20" s="32"/>
    </row>
  </sheetData>
  <mergeCells count="7">
    <mergeCell ref="E9:M9"/>
    <mergeCell ref="A1:C3"/>
    <mergeCell ref="D1:M1"/>
    <mergeCell ref="N1:P1"/>
    <mergeCell ref="D2:M3"/>
    <mergeCell ref="N2:P2"/>
    <mergeCell ref="N3:P3"/>
  </mergeCells>
  <pageMargins left="0.19685" right="0.19685" top="0.748031" bottom="0.748031" header="0.31496099999999999" footer="0.31496099999999999"/>
  <pageSetup orientation="portrait"/>
  <headerFooter>
    <oddFooter>&amp;C&amp;"Helvetica Neue,Regular"&amp;12&amp;K000000&amp;P</oddFooter>
  </headerFooter>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3"/>
  <sheetViews>
    <sheetView showGridLines="0" topLeftCell="A18" zoomScale="25" zoomScaleNormal="25" workbookViewId="0">
      <selection activeCell="A24" sqref="A24:A30"/>
    </sheetView>
  </sheetViews>
  <sheetFormatPr baseColWidth="10" defaultColWidth="11.453125" defaultRowHeight="14.25" customHeight="1"/>
  <cols>
    <col min="1" max="1" width="57.453125" style="1" customWidth="1"/>
    <col min="2" max="2" width="51.453125" style="1" customWidth="1"/>
    <col min="3" max="3" width="51.7265625" style="1" customWidth="1"/>
    <col min="4" max="5" width="18.1796875" style="1" customWidth="1"/>
    <col min="6" max="6" width="19.453125" style="1" customWidth="1"/>
    <col min="7" max="7" width="20.7265625" style="1" customWidth="1"/>
    <col min="8" max="9" width="11.453125" style="1" customWidth="1"/>
    <col min="10" max="16384" width="11.453125" style="1"/>
  </cols>
  <sheetData>
    <row r="1" spans="1:8" ht="14.25" customHeight="1">
      <c r="A1" s="33"/>
      <c r="B1" s="34"/>
      <c r="C1" s="35"/>
      <c r="D1" s="35"/>
      <c r="E1" s="35"/>
      <c r="F1" s="35"/>
      <c r="G1" s="35"/>
      <c r="H1" s="36"/>
    </row>
    <row r="2" spans="1:8" ht="14.25" customHeight="1">
      <c r="A2" s="27"/>
      <c r="B2" s="34"/>
      <c r="C2" s="28"/>
      <c r="D2" s="28"/>
      <c r="E2" s="28"/>
      <c r="F2" s="28"/>
      <c r="G2" s="28"/>
      <c r="H2" s="29"/>
    </row>
    <row r="3" spans="1:8" ht="14.25" customHeight="1">
      <c r="A3" s="27"/>
      <c r="B3" s="34"/>
      <c r="C3" s="28"/>
      <c r="D3" s="28"/>
      <c r="E3" s="28"/>
      <c r="F3" s="28"/>
      <c r="G3" s="28"/>
      <c r="H3" s="29"/>
    </row>
    <row r="4" spans="1:8" ht="14.25" customHeight="1">
      <c r="A4" s="27"/>
      <c r="B4" s="34"/>
      <c r="C4" s="28"/>
      <c r="D4" s="28"/>
      <c r="E4" s="28"/>
      <c r="F4" s="28"/>
      <c r="G4" s="28"/>
      <c r="H4" s="29"/>
    </row>
    <row r="5" spans="1:8" ht="14.25" customHeight="1">
      <c r="A5" s="27"/>
      <c r="B5" s="34"/>
      <c r="C5" s="28"/>
      <c r="D5" s="28"/>
      <c r="E5" s="28"/>
      <c r="F5" s="28"/>
      <c r="G5" s="28"/>
      <c r="H5" s="29"/>
    </row>
    <row r="6" spans="1:8" ht="14.25" customHeight="1">
      <c r="A6" s="27"/>
      <c r="B6" s="34"/>
      <c r="C6" s="28"/>
      <c r="D6" s="28"/>
      <c r="E6" s="28"/>
      <c r="F6" s="28"/>
      <c r="G6" s="28"/>
      <c r="H6" s="29"/>
    </row>
    <row r="7" spans="1:8" ht="14.25" customHeight="1">
      <c r="A7" s="27"/>
      <c r="B7" s="34"/>
      <c r="C7" s="28"/>
      <c r="D7" s="28"/>
      <c r="E7" s="28"/>
      <c r="F7" s="28"/>
      <c r="G7" s="28"/>
      <c r="H7" s="29"/>
    </row>
    <row r="8" spans="1:8" ht="14.25" customHeight="1">
      <c r="A8" s="27"/>
      <c r="B8" s="34"/>
      <c r="C8" s="28"/>
      <c r="D8" s="28"/>
      <c r="E8" s="28"/>
      <c r="F8" s="28"/>
      <c r="G8" s="28"/>
      <c r="H8" s="29"/>
    </row>
    <row r="9" spans="1:8" ht="14.25" customHeight="1">
      <c r="A9" s="27"/>
      <c r="B9" s="34"/>
      <c r="C9" s="28"/>
      <c r="D9" s="28"/>
      <c r="E9" s="28"/>
      <c r="F9" s="28"/>
      <c r="G9" s="28"/>
      <c r="H9" s="37"/>
    </row>
    <row r="10" spans="1:8" ht="14.25" customHeight="1">
      <c r="A10" s="27"/>
      <c r="B10" s="35"/>
      <c r="C10" s="28"/>
      <c r="D10" s="28"/>
      <c r="E10" s="28"/>
      <c r="F10" s="28"/>
      <c r="G10" s="28"/>
      <c r="H10" s="29"/>
    </row>
    <row r="11" spans="1:8" ht="28.5" customHeight="1">
      <c r="A11" s="500" t="s">
        <v>15</v>
      </c>
      <c r="B11" s="501"/>
      <c r="C11" s="501"/>
      <c r="D11" s="501"/>
      <c r="E11" s="501"/>
      <c r="F11" s="501"/>
      <c r="G11" s="501"/>
      <c r="H11" s="29"/>
    </row>
    <row r="12" spans="1:8" ht="31.5" customHeight="1">
      <c r="A12" s="38"/>
      <c r="B12" s="39"/>
      <c r="C12" s="39"/>
      <c r="D12" s="40"/>
      <c r="E12" s="40"/>
      <c r="F12" s="40"/>
      <c r="G12" s="41"/>
      <c r="H12" s="29"/>
    </row>
    <row r="13" spans="1:8" ht="23.25" customHeight="1">
      <c r="A13" s="508" t="s">
        <v>16</v>
      </c>
      <c r="B13" s="510" t="s">
        <v>17</v>
      </c>
      <c r="C13" s="502" t="s">
        <v>18</v>
      </c>
      <c r="D13" s="512" t="s">
        <v>19</v>
      </c>
      <c r="E13" s="513"/>
      <c r="F13" s="513"/>
      <c r="G13" s="514"/>
      <c r="H13" s="42"/>
    </row>
    <row r="14" spans="1:8" ht="23.25" customHeight="1">
      <c r="A14" s="509"/>
      <c r="B14" s="511"/>
      <c r="C14" s="503"/>
      <c r="D14" s="43">
        <v>2025</v>
      </c>
      <c r="E14" s="44">
        <v>2026</v>
      </c>
      <c r="F14" s="44">
        <v>2027</v>
      </c>
      <c r="G14" s="45">
        <v>2028</v>
      </c>
      <c r="H14" s="42"/>
    </row>
    <row r="15" spans="1:8" ht="48.75" customHeight="1">
      <c r="A15" s="517" t="s">
        <v>20</v>
      </c>
      <c r="B15" s="47" t="s">
        <v>21</v>
      </c>
      <c r="C15" s="48" t="s">
        <v>22</v>
      </c>
      <c r="D15" s="49" t="s">
        <v>23</v>
      </c>
      <c r="E15" s="49" t="s">
        <v>23</v>
      </c>
      <c r="F15" s="49" t="s">
        <v>23</v>
      </c>
      <c r="G15" s="49" t="s">
        <v>23</v>
      </c>
      <c r="H15" s="50">
        <v>1</v>
      </c>
    </row>
    <row r="16" spans="1:8" ht="72.75" customHeight="1">
      <c r="A16" s="518"/>
      <c r="B16" s="51" t="s">
        <v>24</v>
      </c>
      <c r="C16" s="49" t="s">
        <v>25</v>
      </c>
      <c r="D16" s="49" t="s">
        <v>26</v>
      </c>
      <c r="E16" s="49" t="s">
        <v>26</v>
      </c>
      <c r="F16" s="49" t="s">
        <v>26</v>
      </c>
      <c r="G16" s="49" t="s">
        <v>26</v>
      </c>
      <c r="H16" s="50">
        <v>2</v>
      </c>
    </row>
    <row r="17" spans="1:8" ht="96.75" customHeight="1">
      <c r="A17" s="518"/>
      <c r="B17" s="51" t="s">
        <v>27</v>
      </c>
      <c r="C17" s="49" t="s">
        <v>28</v>
      </c>
      <c r="D17" s="49" t="s">
        <v>29</v>
      </c>
      <c r="E17" s="49" t="s">
        <v>29</v>
      </c>
      <c r="F17" s="49" t="s">
        <v>29</v>
      </c>
      <c r="G17" s="49" t="s">
        <v>29</v>
      </c>
      <c r="H17" s="50">
        <v>3</v>
      </c>
    </row>
    <row r="18" spans="1:8" ht="96.75" customHeight="1">
      <c r="A18" s="518"/>
      <c r="B18" s="51" t="s">
        <v>30</v>
      </c>
      <c r="C18" s="49" t="s">
        <v>31</v>
      </c>
      <c r="D18" s="49" t="s">
        <v>32</v>
      </c>
      <c r="E18" s="49" t="s">
        <v>32</v>
      </c>
      <c r="F18" s="49" t="s">
        <v>32</v>
      </c>
      <c r="G18" s="49" t="s">
        <v>32</v>
      </c>
      <c r="H18" s="52"/>
    </row>
    <row r="19" spans="1:8" ht="120.75" customHeight="1">
      <c r="A19" s="518"/>
      <c r="B19" s="51" t="s">
        <v>33</v>
      </c>
      <c r="C19" s="49" t="s">
        <v>34</v>
      </c>
      <c r="D19" s="49" t="s">
        <v>35</v>
      </c>
      <c r="E19" s="49" t="s">
        <v>35</v>
      </c>
      <c r="F19" s="49" t="s">
        <v>35</v>
      </c>
      <c r="G19" s="49" t="s">
        <v>35</v>
      </c>
      <c r="H19" s="52"/>
    </row>
    <row r="20" spans="1:8" ht="120.75" customHeight="1">
      <c r="A20" s="518"/>
      <c r="B20" s="51" t="s">
        <v>36</v>
      </c>
      <c r="C20" s="49" t="s">
        <v>37</v>
      </c>
      <c r="D20" s="53" t="s">
        <v>38</v>
      </c>
      <c r="E20" s="53" t="s">
        <v>38</v>
      </c>
      <c r="F20" s="53" t="s">
        <v>38</v>
      </c>
      <c r="G20" s="53" t="s">
        <v>38</v>
      </c>
      <c r="H20" s="52"/>
    </row>
    <row r="21" spans="1:8" ht="72" customHeight="1">
      <c r="A21" s="518"/>
      <c r="B21" s="54" t="s">
        <v>39</v>
      </c>
      <c r="C21" s="55" t="s">
        <v>40</v>
      </c>
      <c r="D21" s="56" t="s">
        <v>41</v>
      </c>
      <c r="E21" s="56" t="s">
        <v>41</v>
      </c>
      <c r="F21" s="56" t="s">
        <v>41</v>
      </c>
      <c r="G21" s="56" t="s">
        <v>41</v>
      </c>
      <c r="H21" s="52"/>
    </row>
    <row r="22" spans="1:8" ht="96" customHeight="1">
      <c r="A22" s="517" t="s">
        <v>42</v>
      </c>
      <c r="B22" s="57" t="s">
        <v>43</v>
      </c>
      <c r="C22" s="57" t="s">
        <v>44</v>
      </c>
      <c r="D22" s="58">
        <v>1</v>
      </c>
      <c r="E22" s="58">
        <v>1</v>
      </c>
      <c r="F22" s="58">
        <v>1</v>
      </c>
      <c r="G22" s="58">
        <v>1</v>
      </c>
      <c r="H22" s="59"/>
    </row>
    <row r="23" spans="1:8" ht="72" customHeight="1">
      <c r="A23" s="518"/>
      <c r="B23" s="57" t="s">
        <v>45</v>
      </c>
      <c r="C23" s="57" t="s">
        <v>46</v>
      </c>
      <c r="D23" s="58">
        <v>1</v>
      </c>
      <c r="E23" s="58">
        <v>1</v>
      </c>
      <c r="F23" s="58">
        <v>1</v>
      </c>
      <c r="G23" s="58">
        <v>1</v>
      </c>
      <c r="H23" s="59"/>
    </row>
    <row r="24" spans="1:8" ht="48" customHeight="1">
      <c r="A24" s="519" t="s">
        <v>47</v>
      </c>
      <c r="B24" s="57" t="s">
        <v>48</v>
      </c>
      <c r="C24" s="57" t="s">
        <v>49</v>
      </c>
      <c r="D24" s="58">
        <v>0</v>
      </c>
      <c r="E24" s="58">
        <v>0</v>
      </c>
      <c r="F24" s="58">
        <v>0</v>
      </c>
      <c r="G24" s="58">
        <v>0</v>
      </c>
      <c r="H24" s="59"/>
    </row>
    <row r="25" spans="1:8" ht="96" customHeight="1">
      <c r="A25" s="520"/>
      <c r="B25" s="57" t="s">
        <v>50</v>
      </c>
      <c r="C25" s="57" t="s">
        <v>51</v>
      </c>
      <c r="D25" s="57" t="s">
        <v>52</v>
      </c>
      <c r="E25" s="57" t="s">
        <v>52</v>
      </c>
      <c r="F25" s="57" t="s">
        <v>52</v>
      </c>
      <c r="G25" s="57" t="s">
        <v>52</v>
      </c>
      <c r="H25" s="59"/>
    </row>
    <row r="26" spans="1:8" ht="72" customHeight="1">
      <c r="A26" s="520"/>
      <c r="B26" s="57" t="s">
        <v>53</v>
      </c>
      <c r="C26" s="57" t="s">
        <v>54</v>
      </c>
      <c r="D26" s="57" t="s">
        <v>55</v>
      </c>
      <c r="E26" s="57" t="s">
        <v>55</v>
      </c>
      <c r="F26" s="57" t="s">
        <v>55</v>
      </c>
      <c r="G26" s="57" t="s">
        <v>55</v>
      </c>
      <c r="H26" s="59"/>
    </row>
    <row r="27" spans="1:8" ht="120" customHeight="1">
      <c r="A27" s="520"/>
      <c r="B27" s="57" t="s">
        <v>56</v>
      </c>
      <c r="C27" s="57" t="s">
        <v>57</v>
      </c>
      <c r="D27" s="57" t="s">
        <v>58</v>
      </c>
      <c r="E27" s="57" t="s">
        <v>58</v>
      </c>
      <c r="F27" s="57" t="s">
        <v>58</v>
      </c>
      <c r="G27" s="57" t="s">
        <v>58</v>
      </c>
      <c r="H27" s="59"/>
    </row>
    <row r="28" spans="1:8" ht="48.75" customHeight="1">
      <c r="A28" s="520"/>
      <c r="B28" s="57" t="s">
        <v>59</v>
      </c>
      <c r="C28" s="60" t="s">
        <v>60</v>
      </c>
      <c r="D28" s="57" t="s">
        <v>61</v>
      </c>
      <c r="E28" s="57" t="s">
        <v>62</v>
      </c>
      <c r="F28" s="57" t="s">
        <v>63</v>
      </c>
      <c r="G28" s="57" t="s">
        <v>61</v>
      </c>
      <c r="H28" s="59"/>
    </row>
    <row r="29" spans="1:8" ht="120.75" customHeight="1">
      <c r="A29" s="520"/>
      <c r="B29" s="61" t="s">
        <v>64</v>
      </c>
      <c r="C29" s="62" t="s">
        <v>60</v>
      </c>
      <c r="D29" s="57" t="s">
        <v>65</v>
      </c>
      <c r="E29" s="57" t="s">
        <v>66</v>
      </c>
      <c r="F29" s="57" t="s">
        <v>67</v>
      </c>
      <c r="G29" s="57" t="s">
        <v>66</v>
      </c>
      <c r="H29" s="59"/>
    </row>
    <row r="30" spans="1:8" ht="120" customHeight="1">
      <c r="A30" s="521"/>
      <c r="B30" s="57" t="s">
        <v>68</v>
      </c>
      <c r="C30" s="57" t="s">
        <v>69</v>
      </c>
      <c r="D30" s="63">
        <v>1</v>
      </c>
      <c r="E30" s="63">
        <v>1</v>
      </c>
      <c r="F30" s="63">
        <v>1</v>
      </c>
      <c r="G30" s="63">
        <v>1</v>
      </c>
      <c r="H30" s="59"/>
    </row>
    <row r="31" spans="1:8" ht="144" customHeight="1">
      <c r="A31" s="46" t="s">
        <v>70</v>
      </c>
      <c r="B31" s="64" t="s">
        <v>71</v>
      </c>
      <c r="C31" s="57" t="s">
        <v>72</v>
      </c>
      <c r="D31" s="65">
        <v>1</v>
      </c>
      <c r="E31" s="65">
        <v>1</v>
      </c>
      <c r="F31" s="65">
        <v>1</v>
      </c>
      <c r="G31" s="65">
        <v>1</v>
      </c>
      <c r="H31" s="59"/>
    </row>
    <row r="32" spans="1:8" ht="17.149999999999999" customHeight="1">
      <c r="A32" s="66"/>
      <c r="B32" s="67"/>
      <c r="C32" s="68"/>
      <c r="D32" s="69"/>
      <c r="E32" s="69"/>
      <c r="F32" s="69"/>
      <c r="G32" s="70"/>
      <c r="H32" s="29"/>
    </row>
    <row r="33" spans="1:8" ht="17.149999999999999" customHeight="1">
      <c r="A33" s="71"/>
      <c r="B33" s="72"/>
      <c r="C33" s="73"/>
      <c r="D33" s="74"/>
      <c r="E33" s="74"/>
      <c r="F33" s="74"/>
      <c r="G33" s="75"/>
      <c r="H33" s="29"/>
    </row>
    <row r="34" spans="1:8" ht="20.25" customHeight="1">
      <c r="A34" s="76"/>
      <c r="B34" s="72"/>
      <c r="C34" s="73"/>
      <c r="D34" s="77"/>
      <c r="E34" s="77"/>
      <c r="F34" s="77"/>
      <c r="G34" s="78"/>
      <c r="H34" s="29"/>
    </row>
    <row r="35" spans="1:8" ht="20.25" customHeight="1">
      <c r="A35" s="76"/>
      <c r="B35" s="72"/>
      <c r="C35" s="73"/>
      <c r="D35" s="79"/>
      <c r="E35" s="79"/>
      <c r="F35" s="79"/>
      <c r="G35" s="80"/>
      <c r="H35" s="29"/>
    </row>
    <row r="36" spans="1:8" ht="15" customHeight="1">
      <c r="A36" s="515"/>
      <c r="B36" s="72"/>
      <c r="C36" s="73"/>
      <c r="D36" s="81"/>
      <c r="E36" s="81"/>
      <c r="F36" s="81"/>
      <c r="G36" s="82"/>
      <c r="H36" s="29"/>
    </row>
    <row r="37" spans="1:8" ht="15" customHeight="1">
      <c r="A37" s="515"/>
      <c r="B37" s="72"/>
      <c r="C37" s="73"/>
      <c r="D37" s="77"/>
      <c r="E37" s="77"/>
      <c r="F37" s="77"/>
      <c r="G37" s="78"/>
      <c r="H37" s="29"/>
    </row>
    <row r="38" spans="1:8" ht="15" customHeight="1">
      <c r="A38" s="515"/>
      <c r="B38" s="72"/>
      <c r="C38" s="73"/>
      <c r="D38" s="77"/>
      <c r="E38" s="77"/>
      <c r="F38" s="77"/>
      <c r="G38" s="78"/>
      <c r="H38" s="29"/>
    </row>
    <row r="39" spans="1:8" ht="15" customHeight="1">
      <c r="A39" s="516"/>
      <c r="B39" s="72"/>
      <c r="C39" s="83"/>
      <c r="D39" s="84"/>
      <c r="E39" s="84"/>
      <c r="F39" s="84"/>
      <c r="G39" s="85"/>
      <c r="H39" s="29"/>
    </row>
    <row r="40" spans="1:8" ht="14.25" customHeight="1">
      <c r="A40" s="27"/>
      <c r="B40" s="34"/>
      <c r="C40" s="28"/>
      <c r="D40" s="28"/>
      <c r="E40" s="28"/>
      <c r="F40" s="28"/>
      <c r="G40" s="28"/>
      <c r="H40" s="29"/>
    </row>
    <row r="41" spans="1:8" ht="14.25" customHeight="1">
      <c r="A41" s="27"/>
      <c r="B41" s="35"/>
      <c r="C41" s="28"/>
      <c r="D41" s="28"/>
      <c r="E41" s="28"/>
      <c r="F41" s="28"/>
      <c r="G41" s="28"/>
      <c r="H41" s="29"/>
    </row>
    <row r="42" spans="1:8" ht="30.75" customHeight="1">
      <c r="A42" s="504"/>
      <c r="B42" s="505"/>
      <c r="C42" s="86"/>
      <c r="D42" s="86"/>
      <c r="E42" s="86"/>
      <c r="F42" s="86"/>
      <c r="G42" s="28"/>
      <c r="H42" s="29"/>
    </row>
    <row r="43" spans="1:8" ht="15" customHeight="1">
      <c r="A43" s="506"/>
      <c r="B43" s="507"/>
      <c r="C43" s="87"/>
      <c r="D43" s="87"/>
      <c r="E43" s="87"/>
      <c r="F43" s="87"/>
      <c r="G43" s="31"/>
      <c r="H43" s="32"/>
    </row>
  </sheetData>
  <mergeCells count="11">
    <mergeCell ref="A11:G11"/>
    <mergeCell ref="C13:C14"/>
    <mergeCell ref="A42:B42"/>
    <mergeCell ref="A43:B43"/>
    <mergeCell ref="A13:A14"/>
    <mergeCell ref="B13:B14"/>
    <mergeCell ref="D13:G13"/>
    <mergeCell ref="A36:A39"/>
    <mergeCell ref="A15:A21"/>
    <mergeCell ref="A22:A23"/>
    <mergeCell ref="A24:A30"/>
  </mergeCells>
  <pageMargins left="0.19685" right="0.19685" top="0.748031" bottom="0.748031" header="0.31496099999999999" footer="0.31496099999999999"/>
  <pageSetup scale="55" orientation="landscape"/>
  <headerFooter>
    <oddFooter>&amp;C&amp;"Helvetica Neue,Regular"&amp;12&amp;K000000&amp;P</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4"/>
  <sheetViews>
    <sheetView showGridLines="0" topLeftCell="A34" zoomScale="60" zoomScaleNormal="60" workbookViewId="0">
      <selection activeCell="A42" sqref="A42:F42"/>
    </sheetView>
  </sheetViews>
  <sheetFormatPr baseColWidth="10" defaultColWidth="11.453125" defaultRowHeight="14.25" customHeight="1"/>
  <cols>
    <col min="1" max="1" width="12.453125" style="1" customWidth="1"/>
    <col min="2" max="2" width="32" style="1" customWidth="1"/>
    <col min="3" max="3" width="65" style="1" customWidth="1"/>
    <col min="4" max="4" width="24.453125" style="1" customWidth="1"/>
    <col min="5" max="5" width="20.453125" style="1" customWidth="1"/>
    <col min="6" max="6" width="19.453125" style="1" customWidth="1"/>
    <col min="7" max="7" width="36.26953125" style="1" customWidth="1"/>
    <col min="8" max="8" width="33.7265625" style="1" customWidth="1"/>
    <col min="9" max="9" width="21" style="1" customWidth="1"/>
    <col min="10" max="10" width="24.26953125" style="1" customWidth="1"/>
    <col min="11" max="12" width="11.453125" style="1" customWidth="1"/>
    <col min="13" max="16384" width="11.453125" style="1"/>
  </cols>
  <sheetData>
    <row r="1" spans="1:11" ht="14.25" customHeight="1">
      <c r="A1" s="88"/>
      <c r="B1" s="35"/>
      <c r="C1" s="35"/>
      <c r="D1" s="35"/>
      <c r="E1" s="35"/>
      <c r="F1" s="35"/>
      <c r="G1" s="35"/>
      <c r="H1" s="35"/>
      <c r="I1" s="35"/>
      <c r="J1" s="35"/>
      <c r="K1" s="36"/>
    </row>
    <row r="2" spans="1:11" ht="14.25" customHeight="1">
      <c r="A2" s="27"/>
      <c r="B2" s="28"/>
      <c r="C2" s="28"/>
      <c r="D2" s="28"/>
      <c r="E2" s="28"/>
      <c r="F2" s="28"/>
      <c r="G2" s="28"/>
      <c r="H2" s="28"/>
      <c r="I2" s="28"/>
      <c r="J2" s="28"/>
      <c r="K2" s="29"/>
    </row>
    <row r="3" spans="1:11" ht="14.25" customHeight="1">
      <c r="A3" s="27"/>
      <c r="B3" s="28"/>
      <c r="C3" s="28"/>
      <c r="D3" s="28"/>
      <c r="E3" s="28"/>
      <c r="F3" s="28"/>
      <c r="G3" s="28"/>
      <c r="H3" s="28"/>
      <c r="I3" s="28"/>
      <c r="J3" s="28"/>
      <c r="K3" s="29"/>
    </row>
    <row r="4" spans="1:11" ht="14.25" customHeight="1">
      <c r="A4" s="27"/>
      <c r="B4" s="28"/>
      <c r="C4" s="28"/>
      <c r="D4" s="28"/>
      <c r="E4" s="28"/>
      <c r="F4" s="28"/>
      <c r="G4" s="28"/>
      <c r="H4" s="28"/>
      <c r="I4" s="28"/>
      <c r="J4" s="28"/>
      <c r="K4" s="29"/>
    </row>
    <row r="5" spans="1:11" ht="14.25" customHeight="1">
      <c r="A5" s="27"/>
      <c r="B5" s="28"/>
      <c r="C5" s="28"/>
      <c r="D5" s="28"/>
      <c r="E5" s="28"/>
      <c r="F5" s="28"/>
      <c r="G5" s="28"/>
      <c r="H5" s="28"/>
      <c r="I5" s="28"/>
      <c r="J5" s="28"/>
      <c r="K5" s="29"/>
    </row>
    <row r="6" spans="1:11" ht="14.25" customHeight="1">
      <c r="A6" s="27"/>
      <c r="B6" s="28"/>
      <c r="C6" s="28"/>
      <c r="D6" s="28"/>
      <c r="E6" s="28"/>
      <c r="F6" s="28"/>
      <c r="G6" s="28"/>
      <c r="H6" s="28"/>
      <c r="I6" s="28"/>
      <c r="J6" s="28"/>
      <c r="K6" s="29"/>
    </row>
    <row r="7" spans="1:11" ht="14.25" customHeight="1">
      <c r="A7" s="27"/>
      <c r="B7" s="28"/>
      <c r="C7" s="28"/>
      <c r="D7" s="28"/>
      <c r="E7" s="28"/>
      <c r="F7" s="28"/>
      <c r="G7" s="28"/>
      <c r="H7" s="28"/>
      <c r="I7" s="28"/>
      <c r="J7" s="28"/>
      <c r="K7" s="29"/>
    </row>
    <row r="8" spans="1:11" ht="14.25" customHeight="1">
      <c r="A8" s="27"/>
      <c r="B8" s="28"/>
      <c r="C8" s="28"/>
      <c r="D8" s="28"/>
      <c r="E8" s="28"/>
      <c r="F8" s="28"/>
      <c r="G8" s="28"/>
      <c r="H8" s="28"/>
      <c r="I8" s="28"/>
      <c r="J8" s="28"/>
      <c r="K8" s="29"/>
    </row>
    <row r="9" spans="1:11" ht="14.25" customHeight="1">
      <c r="A9" s="27"/>
      <c r="B9" s="28"/>
      <c r="C9" s="28"/>
      <c r="D9" s="28"/>
      <c r="E9" s="28"/>
      <c r="F9" s="28"/>
      <c r="G9" s="28"/>
      <c r="H9" s="28"/>
      <c r="I9" s="28"/>
      <c r="J9" s="28"/>
      <c r="K9" s="29"/>
    </row>
    <row r="10" spans="1:11" ht="14.25" customHeight="1">
      <c r="A10" s="27"/>
      <c r="B10" s="28"/>
      <c r="C10" s="28"/>
      <c r="D10" s="28"/>
      <c r="E10" s="28"/>
      <c r="F10" s="28"/>
      <c r="G10" s="28"/>
      <c r="H10" s="28"/>
      <c r="I10" s="28"/>
      <c r="J10" s="28"/>
      <c r="K10" s="29"/>
    </row>
    <row r="11" spans="1:11" ht="14.25" customHeight="1">
      <c r="A11" s="524" t="s">
        <v>73</v>
      </c>
      <c r="B11" s="525"/>
      <c r="C11" s="525"/>
      <c r="D11" s="525"/>
      <c r="E11" s="525"/>
      <c r="F11" s="525"/>
      <c r="G11" s="525"/>
      <c r="H11" s="525"/>
      <c r="I11" s="525"/>
      <c r="J11" s="525"/>
      <c r="K11" s="29"/>
    </row>
    <row r="12" spans="1:11" ht="15" customHeight="1">
      <c r="A12" s="526"/>
      <c r="B12" s="527"/>
      <c r="C12" s="527"/>
      <c r="D12" s="527"/>
      <c r="E12" s="527"/>
      <c r="F12" s="527"/>
      <c r="G12" s="527"/>
      <c r="H12" s="527"/>
      <c r="I12" s="527"/>
      <c r="J12" s="527"/>
      <c r="K12" s="29"/>
    </row>
    <row r="13" spans="1:11" ht="45.75" customHeight="1">
      <c r="A13" s="89" t="s">
        <v>74</v>
      </c>
      <c r="B13" s="89" t="s">
        <v>17</v>
      </c>
      <c r="C13" s="89" t="s">
        <v>75</v>
      </c>
      <c r="D13" s="89" t="s">
        <v>76</v>
      </c>
      <c r="E13" s="89" t="s">
        <v>77</v>
      </c>
      <c r="F13" s="89" t="s">
        <v>78</v>
      </c>
      <c r="G13" s="89" t="s">
        <v>79</v>
      </c>
      <c r="H13" s="89" t="s">
        <v>18</v>
      </c>
      <c r="I13" s="89" t="s">
        <v>80</v>
      </c>
      <c r="J13" s="89" t="s">
        <v>81</v>
      </c>
      <c r="K13" s="52"/>
    </row>
    <row r="14" spans="1:11" ht="176.25" customHeight="1">
      <c r="A14" s="90">
        <v>1</v>
      </c>
      <c r="B14" s="91" t="s">
        <v>82</v>
      </c>
      <c r="C14" s="92" t="s">
        <v>83</v>
      </c>
      <c r="D14" s="91" t="s">
        <v>84</v>
      </c>
      <c r="E14" s="91" t="s">
        <v>85</v>
      </c>
      <c r="F14" s="91" t="s">
        <v>86</v>
      </c>
      <c r="G14" s="93" t="s">
        <v>87</v>
      </c>
      <c r="H14" s="91" t="s">
        <v>22</v>
      </c>
      <c r="I14" s="94" t="s">
        <v>88</v>
      </c>
      <c r="J14" s="92" t="s">
        <v>89</v>
      </c>
      <c r="K14" s="52"/>
    </row>
    <row r="15" spans="1:11" ht="82" customHeight="1">
      <c r="A15" s="90">
        <v>2</v>
      </c>
      <c r="B15" s="91" t="s">
        <v>90</v>
      </c>
      <c r="C15" s="92" t="s">
        <v>91</v>
      </c>
      <c r="D15" s="91" t="s">
        <v>84</v>
      </c>
      <c r="E15" s="91" t="s">
        <v>85</v>
      </c>
      <c r="F15" s="95" t="s">
        <v>86</v>
      </c>
      <c r="G15" s="96" t="s">
        <v>92</v>
      </c>
      <c r="H15" s="97" t="s">
        <v>25</v>
      </c>
      <c r="I15" s="94" t="s">
        <v>88</v>
      </c>
      <c r="J15" s="92" t="s">
        <v>89</v>
      </c>
      <c r="K15" s="52"/>
    </row>
    <row r="16" spans="1:11" ht="78.75" customHeight="1">
      <c r="A16" s="90">
        <v>3</v>
      </c>
      <c r="B16" s="91" t="s">
        <v>93</v>
      </c>
      <c r="C16" s="92" t="s">
        <v>94</v>
      </c>
      <c r="D16" s="91" t="s">
        <v>84</v>
      </c>
      <c r="E16" s="91" t="s">
        <v>85</v>
      </c>
      <c r="F16" s="91" t="s">
        <v>86</v>
      </c>
      <c r="G16" s="98" t="s">
        <v>95</v>
      </c>
      <c r="H16" s="91" t="s">
        <v>28</v>
      </c>
      <c r="I16" s="94" t="s">
        <v>88</v>
      </c>
      <c r="J16" s="92" t="s">
        <v>89</v>
      </c>
      <c r="K16" s="52"/>
    </row>
    <row r="17" spans="1:11" ht="98.25" customHeight="1">
      <c r="A17" s="90">
        <v>4</v>
      </c>
      <c r="B17" s="91" t="s">
        <v>96</v>
      </c>
      <c r="C17" s="99" t="s">
        <v>97</v>
      </c>
      <c r="D17" s="91" t="s">
        <v>84</v>
      </c>
      <c r="E17" s="91" t="s">
        <v>85</v>
      </c>
      <c r="F17" s="91" t="s">
        <v>86</v>
      </c>
      <c r="G17" s="91" t="s">
        <v>98</v>
      </c>
      <c r="H17" s="91" t="s">
        <v>34</v>
      </c>
      <c r="I17" s="94" t="s">
        <v>88</v>
      </c>
      <c r="J17" s="92" t="s">
        <v>89</v>
      </c>
      <c r="K17" s="52"/>
    </row>
    <row r="18" spans="1:11" ht="98.25" customHeight="1">
      <c r="A18" s="90">
        <v>5</v>
      </c>
      <c r="B18" s="91" t="s">
        <v>33</v>
      </c>
      <c r="C18" s="99" t="s">
        <v>99</v>
      </c>
      <c r="D18" s="91" t="s">
        <v>84</v>
      </c>
      <c r="E18" s="91" t="s">
        <v>86</v>
      </c>
      <c r="F18" s="91" t="s">
        <v>86</v>
      </c>
      <c r="G18" s="91" t="s">
        <v>100</v>
      </c>
      <c r="H18" s="91" t="s">
        <v>34</v>
      </c>
      <c r="I18" s="94" t="s">
        <v>88</v>
      </c>
      <c r="J18" s="92" t="s">
        <v>89</v>
      </c>
      <c r="K18" s="52"/>
    </row>
    <row r="19" spans="1:11" ht="117.75" customHeight="1">
      <c r="A19" s="90">
        <v>6</v>
      </c>
      <c r="B19" s="91" t="s">
        <v>101</v>
      </c>
      <c r="C19" s="99" t="s">
        <v>102</v>
      </c>
      <c r="D19" s="91" t="s">
        <v>103</v>
      </c>
      <c r="E19" s="91" t="s">
        <v>104</v>
      </c>
      <c r="F19" s="100" t="s">
        <v>105</v>
      </c>
      <c r="G19" s="101"/>
      <c r="H19" s="91" t="s">
        <v>37</v>
      </c>
      <c r="I19" s="94" t="s">
        <v>106</v>
      </c>
      <c r="J19" s="91" t="s">
        <v>107</v>
      </c>
      <c r="K19" s="52"/>
    </row>
    <row r="20" spans="1:11" ht="98.25" customHeight="1">
      <c r="A20" s="90">
        <v>7</v>
      </c>
      <c r="B20" s="91" t="s">
        <v>39</v>
      </c>
      <c r="C20" s="92" t="s">
        <v>108</v>
      </c>
      <c r="D20" s="91" t="s">
        <v>103</v>
      </c>
      <c r="E20" s="91" t="s">
        <v>104</v>
      </c>
      <c r="F20" s="100" t="s">
        <v>105</v>
      </c>
      <c r="G20" s="91" t="s">
        <v>109</v>
      </c>
      <c r="H20" s="91" t="s">
        <v>110</v>
      </c>
      <c r="I20" s="94" t="s">
        <v>111</v>
      </c>
      <c r="J20" s="91" t="s">
        <v>112</v>
      </c>
      <c r="K20" s="52"/>
    </row>
    <row r="21" spans="1:11" ht="30.75" customHeight="1">
      <c r="A21" s="528" t="s">
        <v>113</v>
      </c>
      <c r="B21" s="529"/>
      <c r="C21" s="529"/>
      <c r="D21" s="529"/>
      <c r="E21" s="529"/>
      <c r="F21" s="529"/>
      <c r="G21" s="529"/>
      <c r="H21" s="529"/>
      <c r="I21" s="529"/>
      <c r="J21" s="530"/>
      <c r="K21" s="52"/>
    </row>
    <row r="22" spans="1:11" ht="45.75" customHeight="1">
      <c r="A22" s="102" t="s">
        <v>74</v>
      </c>
      <c r="B22" s="102" t="s">
        <v>17</v>
      </c>
      <c r="C22" s="102" t="s">
        <v>75</v>
      </c>
      <c r="D22" s="102" t="s">
        <v>76</v>
      </c>
      <c r="E22" s="102" t="s">
        <v>77</v>
      </c>
      <c r="F22" s="102" t="s">
        <v>78</v>
      </c>
      <c r="G22" s="102" t="s">
        <v>79</v>
      </c>
      <c r="H22" s="103" t="s">
        <v>18</v>
      </c>
      <c r="I22" s="102" t="s">
        <v>80</v>
      </c>
      <c r="J22" s="102" t="s">
        <v>81</v>
      </c>
      <c r="K22" s="52"/>
    </row>
    <row r="23" spans="1:11" ht="117.75" customHeight="1">
      <c r="A23" s="104">
        <v>8</v>
      </c>
      <c r="B23" s="91" t="s">
        <v>43</v>
      </c>
      <c r="C23" s="92" t="s">
        <v>114</v>
      </c>
      <c r="D23" s="91" t="s">
        <v>103</v>
      </c>
      <c r="E23" s="91" t="s">
        <v>104</v>
      </c>
      <c r="F23" s="100" t="s">
        <v>115</v>
      </c>
      <c r="G23" s="105" t="s">
        <v>116</v>
      </c>
      <c r="H23" s="106" t="s">
        <v>44</v>
      </c>
      <c r="I23" s="107"/>
      <c r="J23" s="91" t="s">
        <v>117</v>
      </c>
      <c r="K23" s="52"/>
    </row>
    <row r="24" spans="1:11" ht="102" customHeight="1">
      <c r="A24" s="104">
        <v>9</v>
      </c>
      <c r="B24" s="91" t="s">
        <v>45</v>
      </c>
      <c r="C24" s="92" t="s">
        <v>118</v>
      </c>
      <c r="D24" s="91" t="s">
        <v>103</v>
      </c>
      <c r="E24" s="91" t="s">
        <v>104</v>
      </c>
      <c r="F24" s="100" t="s">
        <v>115</v>
      </c>
      <c r="G24" s="105" t="s">
        <v>119</v>
      </c>
      <c r="H24" s="108" t="s">
        <v>46</v>
      </c>
      <c r="I24" s="94" t="s">
        <v>120</v>
      </c>
      <c r="J24" s="109" t="s">
        <v>121</v>
      </c>
      <c r="K24" s="52"/>
    </row>
    <row r="25" spans="1:11" ht="20.25" customHeight="1">
      <c r="A25" s="110"/>
      <c r="B25" s="101"/>
      <c r="C25" s="110"/>
      <c r="D25" s="110"/>
      <c r="E25" s="110"/>
      <c r="F25" s="110"/>
      <c r="G25" s="110"/>
      <c r="H25" s="110"/>
      <c r="I25" s="110"/>
      <c r="J25" s="110"/>
      <c r="K25" s="52"/>
    </row>
    <row r="26" spans="1:11" ht="20.25" customHeight="1">
      <c r="A26" s="110"/>
      <c r="B26" s="101"/>
      <c r="C26" s="110"/>
      <c r="D26" s="110"/>
      <c r="E26" s="110"/>
      <c r="F26" s="110"/>
      <c r="G26" s="110"/>
      <c r="H26" s="110"/>
      <c r="I26" s="110"/>
      <c r="J26" s="110"/>
      <c r="K26" s="52"/>
    </row>
    <row r="27" spans="1:11" ht="30.75" customHeight="1">
      <c r="A27" s="531" t="s">
        <v>122</v>
      </c>
      <c r="B27" s="532"/>
      <c r="C27" s="532"/>
      <c r="D27" s="532"/>
      <c r="E27" s="532"/>
      <c r="F27" s="532"/>
      <c r="G27" s="532"/>
      <c r="H27" s="532"/>
      <c r="I27" s="532"/>
      <c r="J27" s="533"/>
      <c r="K27" s="52"/>
    </row>
    <row r="28" spans="1:11" ht="61.5" customHeight="1">
      <c r="A28" s="111" t="s">
        <v>74</v>
      </c>
      <c r="B28" s="111" t="s">
        <v>17</v>
      </c>
      <c r="C28" s="111" t="s">
        <v>75</v>
      </c>
      <c r="D28" s="111" t="s">
        <v>76</v>
      </c>
      <c r="E28" s="111" t="s">
        <v>77</v>
      </c>
      <c r="F28" s="111" t="s">
        <v>78</v>
      </c>
      <c r="G28" s="111" t="s">
        <v>79</v>
      </c>
      <c r="H28" s="111" t="s">
        <v>18</v>
      </c>
      <c r="I28" s="111" t="s">
        <v>80</v>
      </c>
      <c r="J28" s="111" t="s">
        <v>81</v>
      </c>
      <c r="K28" s="52"/>
    </row>
    <row r="29" spans="1:11" ht="78.75" customHeight="1">
      <c r="A29" s="112">
        <v>10</v>
      </c>
      <c r="B29" s="100" t="s">
        <v>48</v>
      </c>
      <c r="C29" s="99" t="s">
        <v>123</v>
      </c>
      <c r="D29" s="91" t="s">
        <v>103</v>
      </c>
      <c r="E29" s="100" t="s">
        <v>124</v>
      </c>
      <c r="F29" s="100" t="s">
        <v>125</v>
      </c>
      <c r="G29" s="100" t="s">
        <v>126</v>
      </c>
      <c r="H29" s="100" t="s">
        <v>49</v>
      </c>
      <c r="I29" s="94" t="s">
        <v>88</v>
      </c>
      <c r="J29" s="92" t="s">
        <v>89</v>
      </c>
      <c r="K29" s="52"/>
    </row>
    <row r="30" spans="1:11" ht="78.75" customHeight="1">
      <c r="A30" s="112">
        <v>11</v>
      </c>
      <c r="B30" s="113" t="s">
        <v>50</v>
      </c>
      <c r="C30" s="114" t="s">
        <v>127</v>
      </c>
      <c r="D30" s="91" t="s">
        <v>103</v>
      </c>
      <c r="E30" s="100" t="s">
        <v>124</v>
      </c>
      <c r="F30" s="100" t="s">
        <v>125</v>
      </c>
      <c r="G30" s="100" t="s">
        <v>128</v>
      </c>
      <c r="H30" s="113" t="s">
        <v>51</v>
      </c>
      <c r="I30" s="94" t="s">
        <v>88</v>
      </c>
      <c r="J30" s="92" t="s">
        <v>89</v>
      </c>
      <c r="K30" s="52"/>
    </row>
    <row r="31" spans="1:11" ht="96.75" customHeight="1">
      <c r="A31" s="115">
        <v>12</v>
      </c>
      <c r="B31" s="116" t="s">
        <v>53</v>
      </c>
      <c r="C31" s="117" t="s">
        <v>129</v>
      </c>
      <c r="D31" s="91" t="s">
        <v>103</v>
      </c>
      <c r="E31" s="100" t="s">
        <v>124</v>
      </c>
      <c r="F31" s="100" t="s">
        <v>125</v>
      </c>
      <c r="G31" s="118" t="s">
        <v>130</v>
      </c>
      <c r="H31" s="117" t="s">
        <v>54</v>
      </c>
      <c r="I31" s="119"/>
      <c r="J31" s="91" t="s">
        <v>131</v>
      </c>
      <c r="K31" s="52"/>
    </row>
    <row r="32" spans="1:11" ht="98.25" customHeight="1">
      <c r="A32" s="112">
        <v>13</v>
      </c>
      <c r="B32" s="100" t="s">
        <v>56</v>
      </c>
      <c r="C32" s="99" t="s">
        <v>132</v>
      </c>
      <c r="D32" s="91" t="s">
        <v>103</v>
      </c>
      <c r="E32" s="100" t="s">
        <v>124</v>
      </c>
      <c r="F32" s="100" t="s">
        <v>125</v>
      </c>
      <c r="G32" s="100" t="s">
        <v>133</v>
      </c>
      <c r="H32" s="100" t="s">
        <v>57</v>
      </c>
      <c r="I32" s="94" t="s">
        <v>88</v>
      </c>
      <c r="J32" s="92" t="s">
        <v>89</v>
      </c>
      <c r="K32" s="52"/>
    </row>
    <row r="33" spans="1:11" ht="117.75" customHeight="1">
      <c r="A33" s="112">
        <v>14</v>
      </c>
      <c r="B33" s="100" t="s">
        <v>134</v>
      </c>
      <c r="C33" s="100" t="s">
        <v>135</v>
      </c>
      <c r="D33" s="100" t="s">
        <v>136</v>
      </c>
      <c r="E33" s="100" t="s">
        <v>124</v>
      </c>
      <c r="F33" s="100" t="s">
        <v>125</v>
      </c>
      <c r="G33" s="100" t="s">
        <v>137</v>
      </c>
      <c r="H33" s="100" t="s">
        <v>60</v>
      </c>
      <c r="I33" s="94" t="s">
        <v>88</v>
      </c>
      <c r="J33" s="92" t="s">
        <v>89</v>
      </c>
      <c r="K33" s="52"/>
    </row>
    <row r="34" spans="1:11" ht="117.75" customHeight="1">
      <c r="A34" s="112">
        <v>15</v>
      </c>
      <c r="B34" s="100" t="s">
        <v>64</v>
      </c>
      <c r="C34" s="100" t="s">
        <v>138</v>
      </c>
      <c r="D34" s="100" t="s">
        <v>136</v>
      </c>
      <c r="E34" s="100" t="s">
        <v>124</v>
      </c>
      <c r="F34" s="100" t="s">
        <v>125</v>
      </c>
      <c r="G34" s="100" t="s">
        <v>139</v>
      </c>
      <c r="H34" s="100" t="s">
        <v>60</v>
      </c>
      <c r="I34" s="94" t="s">
        <v>140</v>
      </c>
      <c r="J34" s="100" t="s">
        <v>141</v>
      </c>
      <c r="K34" s="52"/>
    </row>
    <row r="35" spans="1:11" ht="117.75" customHeight="1">
      <c r="A35" s="112">
        <v>16</v>
      </c>
      <c r="B35" s="100" t="s">
        <v>142</v>
      </c>
      <c r="C35" s="100" t="s">
        <v>143</v>
      </c>
      <c r="D35" s="100" t="s">
        <v>136</v>
      </c>
      <c r="E35" s="100" t="s">
        <v>124</v>
      </c>
      <c r="F35" s="100" t="s">
        <v>125</v>
      </c>
      <c r="G35" s="100" t="s">
        <v>144</v>
      </c>
      <c r="H35" s="100" t="s">
        <v>60</v>
      </c>
      <c r="I35" s="94" t="s">
        <v>145</v>
      </c>
      <c r="J35" s="120"/>
      <c r="K35" s="52"/>
    </row>
    <row r="36" spans="1:11" ht="21" customHeight="1">
      <c r="A36" s="120"/>
      <c r="B36" s="121"/>
      <c r="C36" s="122"/>
      <c r="D36" s="122"/>
      <c r="E36" s="122"/>
      <c r="F36" s="122"/>
      <c r="G36" s="122"/>
      <c r="H36" s="122"/>
      <c r="I36" s="122"/>
      <c r="J36" s="122"/>
      <c r="K36" s="29"/>
    </row>
    <row r="37" spans="1:11" ht="30.75" customHeight="1">
      <c r="A37" s="531" t="s">
        <v>146</v>
      </c>
      <c r="B37" s="532"/>
      <c r="C37" s="532"/>
      <c r="D37" s="532"/>
      <c r="E37" s="532"/>
      <c r="F37" s="532"/>
      <c r="G37" s="532"/>
      <c r="H37" s="532"/>
      <c r="I37" s="532"/>
      <c r="J37" s="533"/>
      <c r="K37" s="52"/>
    </row>
    <row r="38" spans="1:11" ht="45.75" customHeight="1">
      <c r="A38" s="89" t="s">
        <v>74</v>
      </c>
      <c r="B38" s="89" t="s">
        <v>17</v>
      </c>
      <c r="C38" s="89" t="s">
        <v>75</v>
      </c>
      <c r="D38" s="89" t="s">
        <v>76</v>
      </c>
      <c r="E38" s="89" t="s">
        <v>77</v>
      </c>
      <c r="F38" s="89" t="s">
        <v>78</v>
      </c>
      <c r="G38" s="89" t="s">
        <v>79</v>
      </c>
      <c r="H38" s="89" t="s">
        <v>18</v>
      </c>
      <c r="I38" s="89" t="s">
        <v>80</v>
      </c>
      <c r="J38" s="89" t="s">
        <v>81</v>
      </c>
      <c r="K38" s="52"/>
    </row>
    <row r="39" spans="1:11" ht="117.75" customHeight="1">
      <c r="A39" s="104">
        <v>17</v>
      </c>
      <c r="B39" s="100" t="s">
        <v>71</v>
      </c>
      <c r="C39" s="100" t="s">
        <v>147</v>
      </c>
      <c r="D39" s="100" t="s">
        <v>136</v>
      </c>
      <c r="E39" s="100" t="s">
        <v>124</v>
      </c>
      <c r="F39" s="100" t="s">
        <v>125</v>
      </c>
      <c r="G39" s="100" t="s">
        <v>148</v>
      </c>
      <c r="H39" s="100" t="s">
        <v>72</v>
      </c>
      <c r="I39" s="120"/>
      <c r="J39" s="100" t="s">
        <v>149</v>
      </c>
      <c r="K39" s="52"/>
    </row>
    <row r="40" spans="1:11" ht="14.25" customHeight="1">
      <c r="A40" s="123"/>
      <c r="B40" s="124"/>
      <c r="C40" s="124"/>
      <c r="D40" s="124"/>
      <c r="E40" s="124"/>
      <c r="F40" s="124"/>
      <c r="G40" s="124"/>
      <c r="H40" s="124"/>
      <c r="I40" s="124"/>
      <c r="J40" s="124"/>
      <c r="K40" s="29"/>
    </row>
    <row r="41" spans="1:11" ht="30.75" customHeight="1">
      <c r="A41" s="504"/>
      <c r="B41" s="505"/>
      <c r="C41" s="505"/>
      <c r="D41" s="505"/>
      <c r="E41" s="505"/>
      <c r="F41" s="505"/>
      <c r="G41" s="86"/>
      <c r="H41" s="86"/>
      <c r="I41" s="86"/>
      <c r="J41" s="28"/>
      <c r="K41" s="29"/>
    </row>
    <row r="42" spans="1:11" ht="14.25" customHeight="1">
      <c r="A42" s="522"/>
      <c r="B42" s="523"/>
      <c r="C42" s="523"/>
      <c r="D42" s="523"/>
      <c r="E42" s="523"/>
      <c r="F42" s="523"/>
      <c r="G42" s="125"/>
      <c r="H42" s="125"/>
      <c r="I42" s="125"/>
      <c r="J42" s="28"/>
      <c r="K42" s="29"/>
    </row>
    <row r="43" spans="1:11" ht="30.75" customHeight="1">
      <c r="A43" s="504"/>
      <c r="B43" s="505"/>
      <c r="C43" s="505"/>
      <c r="D43" s="505"/>
      <c r="E43" s="505"/>
      <c r="F43" s="505"/>
      <c r="G43" s="86"/>
      <c r="H43" s="86"/>
      <c r="I43" s="86"/>
      <c r="J43" s="28"/>
      <c r="K43" s="29"/>
    </row>
    <row r="44" spans="1:11" ht="15" customHeight="1">
      <c r="A44" s="506"/>
      <c r="B44" s="507"/>
      <c r="C44" s="507"/>
      <c r="D44" s="507"/>
      <c r="E44" s="507"/>
      <c r="F44" s="507"/>
      <c r="G44" s="87"/>
      <c r="H44" s="87"/>
      <c r="I44" s="87"/>
      <c r="J44" s="31"/>
      <c r="K44" s="32"/>
    </row>
  </sheetData>
  <mergeCells count="8">
    <mergeCell ref="A44:F44"/>
    <mergeCell ref="A43:F43"/>
    <mergeCell ref="A42:F42"/>
    <mergeCell ref="A11:J12"/>
    <mergeCell ref="A21:J21"/>
    <mergeCell ref="A27:J27"/>
    <mergeCell ref="A37:J37"/>
    <mergeCell ref="A41:F41"/>
  </mergeCells>
  <hyperlinks>
    <hyperlink ref="I14" r:id="rId1" xr:uid="{00000000-0004-0000-0A00-000000000000}"/>
    <hyperlink ref="I15" r:id="rId2" xr:uid="{00000000-0004-0000-0A00-000001000000}"/>
    <hyperlink ref="I16" r:id="rId3" xr:uid="{00000000-0004-0000-0A00-000002000000}"/>
    <hyperlink ref="I17" r:id="rId4" xr:uid="{00000000-0004-0000-0A00-000003000000}"/>
    <hyperlink ref="I18" r:id="rId5" xr:uid="{00000000-0004-0000-0A00-000004000000}"/>
    <hyperlink ref="I19" r:id="rId6" xr:uid="{00000000-0004-0000-0A00-000005000000}"/>
    <hyperlink ref="I20" r:id="rId7" xr:uid="{00000000-0004-0000-0A00-000006000000}"/>
    <hyperlink ref="I24" r:id="rId8" xr:uid="{00000000-0004-0000-0A00-000007000000}"/>
    <hyperlink ref="I29" r:id="rId9" xr:uid="{00000000-0004-0000-0A00-000008000000}"/>
    <hyperlink ref="I30" r:id="rId10" xr:uid="{00000000-0004-0000-0A00-000009000000}"/>
    <hyperlink ref="I32" r:id="rId11" xr:uid="{00000000-0004-0000-0A00-00000A000000}"/>
    <hyperlink ref="I33" r:id="rId12" xr:uid="{00000000-0004-0000-0A00-00000B000000}"/>
    <hyperlink ref="I34" r:id="rId13" xr:uid="{00000000-0004-0000-0A00-00000C000000}"/>
    <hyperlink ref="I35" r:id="rId14" xr:uid="{00000000-0004-0000-0A00-00000D000000}"/>
  </hyperlinks>
  <pageMargins left="0.19685" right="0.19685" top="0.748031" bottom="0.748031" header="0.31496099999999999" footer="0.31496099999999999"/>
  <pageSetup scale="55" orientation="landscape"/>
  <headerFooter>
    <oddFooter>&amp;C&amp;"Helvetica Neue,Regular"&amp;12&amp;K000000&amp;P</oddFooter>
  </headerFooter>
  <drawing r:id="rId1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4"/>
  <sheetViews>
    <sheetView showGridLines="0" zoomScale="70" zoomScaleNormal="70" workbookViewId="0">
      <selection sqref="A1:XFD1048576"/>
    </sheetView>
  </sheetViews>
  <sheetFormatPr baseColWidth="10" defaultColWidth="10.81640625" defaultRowHeight="47.15" customHeight="1"/>
  <cols>
    <col min="1" max="1" width="10.81640625" style="368" customWidth="1"/>
    <col min="2" max="6" width="18" style="368" customWidth="1"/>
    <col min="7" max="7" width="16.81640625" style="368" customWidth="1"/>
    <col min="8" max="9" width="18" style="368" customWidth="1"/>
    <col min="10" max="10" width="4.26953125" style="368" customWidth="1"/>
    <col min="11" max="15" width="10.81640625" style="368" customWidth="1"/>
    <col min="16" max="16384" width="10.81640625" style="368"/>
  </cols>
  <sheetData>
    <row r="1" spans="1:14" ht="47.15" customHeight="1">
      <c r="A1" s="534" t="s">
        <v>0</v>
      </c>
      <c r="B1" s="747"/>
      <c r="C1" s="748"/>
      <c r="D1" s="437" t="s">
        <v>1</v>
      </c>
      <c r="E1" s="438"/>
      <c r="F1" s="438"/>
      <c r="G1" s="438"/>
      <c r="H1" s="438"/>
      <c r="I1" s="438"/>
      <c r="J1" s="438"/>
      <c r="K1" s="438"/>
      <c r="L1" s="439" t="s">
        <v>2</v>
      </c>
      <c r="M1" s="440"/>
      <c r="N1" s="441"/>
    </row>
    <row r="2" spans="1:14" ht="47.15" customHeight="1">
      <c r="A2" s="749"/>
      <c r="B2" s="750"/>
      <c r="C2" s="751"/>
      <c r="D2" s="537" t="s">
        <v>3</v>
      </c>
      <c r="E2" s="538"/>
      <c r="F2" s="538"/>
      <c r="G2" s="538"/>
      <c r="H2" s="538"/>
      <c r="I2" s="538"/>
      <c r="J2" s="538"/>
      <c r="K2" s="538"/>
      <c r="L2" s="540" t="s">
        <v>4</v>
      </c>
      <c r="M2" s="541"/>
      <c r="N2" s="542"/>
    </row>
    <row r="3" spans="1:14" ht="47.15" customHeight="1">
      <c r="A3" s="752"/>
      <c r="B3" s="753"/>
      <c r="C3" s="754"/>
      <c r="D3" s="539"/>
      <c r="E3" s="539"/>
      <c r="F3" s="539"/>
      <c r="G3" s="539"/>
      <c r="H3" s="539"/>
      <c r="I3" s="539"/>
      <c r="J3" s="539"/>
      <c r="K3" s="539"/>
      <c r="L3" s="543" t="s">
        <v>5</v>
      </c>
      <c r="M3" s="544"/>
      <c r="N3" s="545"/>
    </row>
    <row r="4" spans="1:14" ht="47.15" customHeight="1">
      <c r="A4" s="755"/>
      <c r="B4" s="756"/>
      <c r="C4" s="757"/>
      <c r="D4" s="757"/>
      <c r="E4" s="757"/>
      <c r="F4" s="757"/>
      <c r="G4" s="757"/>
      <c r="H4" s="757"/>
      <c r="I4" s="757"/>
      <c r="J4" s="757"/>
      <c r="K4" s="757"/>
      <c r="L4" s="757"/>
      <c r="M4" s="757"/>
      <c r="N4" s="758"/>
    </row>
    <row r="5" spans="1:14" ht="47.15" customHeight="1">
      <c r="A5" s="759"/>
      <c r="B5" s="760"/>
      <c r="C5" s="761"/>
      <c r="D5" s="761"/>
      <c r="E5" s="761"/>
      <c r="F5" s="761"/>
      <c r="G5" s="761"/>
      <c r="H5" s="761"/>
      <c r="I5" s="761"/>
      <c r="J5" s="761"/>
      <c r="K5" s="761"/>
      <c r="L5" s="761"/>
      <c r="M5" s="761"/>
      <c r="N5" s="762"/>
    </row>
    <row r="6" spans="1:14" ht="47.15" customHeight="1">
      <c r="A6" s="763"/>
      <c r="B6" s="764"/>
      <c r="C6" s="765"/>
      <c r="D6" s="765"/>
      <c r="E6" s="765"/>
      <c r="F6" s="765"/>
      <c r="G6" s="765"/>
      <c r="H6" s="765"/>
      <c r="I6" s="765"/>
      <c r="J6" s="765"/>
      <c r="K6" s="765"/>
      <c r="L6" s="765"/>
      <c r="M6" s="765"/>
      <c r="N6" s="766"/>
    </row>
    <row r="7" spans="1:14" ht="47.15" customHeight="1">
      <c r="A7" s="546" t="s">
        <v>150</v>
      </c>
      <c r="B7" s="547"/>
      <c r="C7" s="547"/>
      <c r="D7" s="547"/>
      <c r="E7" s="547"/>
      <c r="F7" s="547"/>
      <c r="G7" s="547"/>
      <c r="H7" s="547"/>
      <c r="I7" s="547"/>
      <c r="J7" s="547"/>
      <c r="K7" s="547"/>
      <c r="L7" s="547"/>
      <c r="M7" s="547"/>
      <c r="N7" s="548"/>
    </row>
    <row r="8" spans="1:14" ht="47.15" customHeight="1">
      <c r="A8" s="767" t="s">
        <v>151</v>
      </c>
      <c r="B8" s="535" t="s">
        <v>152</v>
      </c>
      <c r="C8" s="536"/>
      <c r="D8" s="536"/>
      <c r="E8" s="536"/>
      <c r="F8" s="536"/>
      <c r="G8" s="127" t="s">
        <v>151</v>
      </c>
      <c r="H8" s="535" t="s">
        <v>153</v>
      </c>
      <c r="I8" s="536"/>
      <c r="J8" s="536"/>
      <c r="K8" s="536"/>
      <c r="L8" s="536"/>
      <c r="M8" s="536"/>
      <c r="N8" s="536"/>
    </row>
    <row r="9" spans="1:14" ht="47.15" customHeight="1">
      <c r="A9" s="768">
        <v>1</v>
      </c>
      <c r="B9" s="769" t="s">
        <v>154</v>
      </c>
      <c r="C9" s="770"/>
      <c r="D9" s="770"/>
      <c r="E9" s="770"/>
      <c r="F9" s="770"/>
      <c r="G9" s="771">
        <v>1</v>
      </c>
      <c r="H9" s="772" t="s">
        <v>155</v>
      </c>
      <c r="I9" s="773"/>
      <c r="J9" s="773"/>
      <c r="K9" s="773"/>
      <c r="L9" s="773"/>
      <c r="M9" s="773"/>
      <c r="N9" s="773"/>
    </row>
    <row r="10" spans="1:14" ht="47.15" customHeight="1">
      <c r="A10" s="768">
        <v>2</v>
      </c>
      <c r="B10" s="769" t="s">
        <v>156</v>
      </c>
      <c r="C10" s="770"/>
      <c r="D10" s="770"/>
      <c r="E10" s="770"/>
      <c r="F10" s="770"/>
      <c r="G10" s="771">
        <v>2</v>
      </c>
      <c r="H10" s="774" t="s">
        <v>157</v>
      </c>
      <c r="I10" s="773"/>
      <c r="J10" s="773"/>
      <c r="K10" s="773"/>
      <c r="L10" s="773"/>
      <c r="M10" s="773"/>
      <c r="N10" s="773"/>
    </row>
    <row r="11" spans="1:14" ht="47.15" customHeight="1">
      <c r="A11" s="768">
        <v>3</v>
      </c>
      <c r="B11" s="769" t="s">
        <v>158</v>
      </c>
      <c r="C11" s="770"/>
      <c r="D11" s="770"/>
      <c r="E11" s="770"/>
      <c r="F11" s="770"/>
      <c r="G11" s="771">
        <v>3</v>
      </c>
      <c r="H11" s="772" t="s">
        <v>159</v>
      </c>
      <c r="I11" s="775"/>
      <c r="J11" s="775"/>
      <c r="K11" s="775"/>
      <c r="L11" s="775"/>
      <c r="M11" s="775"/>
      <c r="N11" s="775"/>
    </row>
    <row r="12" spans="1:14" ht="47.15" customHeight="1">
      <c r="A12" s="768">
        <v>4</v>
      </c>
      <c r="B12" s="769" t="s">
        <v>160</v>
      </c>
      <c r="C12" s="770"/>
      <c r="D12" s="770"/>
      <c r="E12" s="770"/>
      <c r="F12" s="770"/>
      <c r="G12" s="771">
        <v>4</v>
      </c>
      <c r="H12" s="772" t="s">
        <v>161</v>
      </c>
      <c r="I12" s="775"/>
      <c r="J12" s="775"/>
      <c r="K12" s="775"/>
      <c r="L12" s="775"/>
      <c r="M12" s="775"/>
      <c r="N12" s="775"/>
    </row>
    <row r="13" spans="1:14" ht="47.15" customHeight="1">
      <c r="A13" s="768">
        <v>5</v>
      </c>
      <c r="B13" s="769" t="s">
        <v>162</v>
      </c>
      <c r="C13" s="770"/>
      <c r="D13" s="770"/>
      <c r="E13" s="770"/>
      <c r="F13" s="770"/>
      <c r="G13" s="771">
        <v>5</v>
      </c>
      <c r="H13" s="772" t="s">
        <v>163</v>
      </c>
      <c r="I13" s="775"/>
      <c r="J13" s="775"/>
      <c r="K13" s="775"/>
      <c r="L13" s="775"/>
      <c r="M13" s="775"/>
      <c r="N13" s="775"/>
    </row>
    <row r="14" spans="1:14" ht="47.15" customHeight="1">
      <c r="A14" s="768">
        <v>6</v>
      </c>
      <c r="B14" s="769" t="s">
        <v>164</v>
      </c>
      <c r="C14" s="770"/>
      <c r="D14" s="770"/>
      <c r="E14" s="770"/>
      <c r="F14" s="770"/>
      <c r="G14" s="771">
        <v>6</v>
      </c>
      <c r="H14" s="772" t="s">
        <v>165</v>
      </c>
      <c r="I14" s="775"/>
      <c r="J14" s="775"/>
      <c r="K14" s="775"/>
      <c r="L14" s="775"/>
      <c r="M14" s="775"/>
      <c r="N14" s="775"/>
    </row>
    <row r="15" spans="1:14" ht="47.15" customHeight="1">
      <c r="A15" s="768">
        <v>7</v>
      </c>
      <c r="B15" s="776" t="s">
        <v>166</v>
      </c>
      <c r="C15" s="777"/>
      <c r="D15" s="777"/>
      <c r="E15" s="777"/>
      <c r="F15" s="777"/>
      <c r="G15" s="771">
        <v>7</v>
      </c>
      <c r="H15" s="772" t="s">
        <v>167</v>
      </c>
      <c r="I15" s="775"/>
      <c r="J15" s="775"/>
      <c r="K15" s="775"/>
      <c r="L15" s="775"/>
      <c r="M15" s="775"/>
      <c r="N15" s="775"/>
    </row>
    <row r="16" spans="1:14" ht="69" customHeight="1">
      <c r="A16" s="768">
        <v>8</v>
      </c>
      <c r="B16" s="769" t="s">
        <v>168</v>
      </c>
      <c r="C16" s="770"/>
      <c r="D16" s="770"/>
      <c r="E16" s="770"/>
      <c r="F16" s="770"/>
      <c r="G16" s="771">
        <v>8</v>
      </c>
      <c r="H16" s="772" t="s">
        <v>169</v>
      </c>
      <c r="I16" s="775"/>
      <c r="J16" s="775"/>
      <c r="K16" s="775"/>
      <c r="L16" s="775"/>
      <c r="M16" s="775"/>
      <c r="N16" s="775"/>
    </row>
    <row r="17" spans="1:14" ht="56.15" customHeight="1">
      <c r="A17" s="768">
        <v>9</v>
      </c>
      <c r="B17" s="769" t="s">
        <v>170</v>
      </c>
      <c r="C17" s="770"/>
      <c r="D17" s="770"/>
      <c r="E17" s="770"/>
      <c r="F17" s="770"/>
      <c r="G17" s="771">
        <v>9</v>
      </c>
      <c r="H17" s="778" t="s">
        <v>171</v>
      </c>
      <c r="I17" s="779"/>
      <c r="J17" s="779"/>
      <c r="K17" s="779"/>
      <c r="L17" s="779"/>
      <c r="M17" s="779"/>
      <c r="N17" s="779"/>
    </row>
    <row r="18" spans="1:14" ht="56.15" customHeight="1">
      <c r="A18" s="768">
        <v>10</v>
      </c>
      <c r="B18" s="769" t="s">
        <v>172</v>
      </c>
      <c r="C18" s="770"/>
      <c r="D18" s="770"/>
      <c r="E18" s="770"/>
      <c r="F18" s="770"/>
      <c r="G18" s="771">
        <v>10</v>
      </c>
      <c r="H18" s="778" t="s">
        <v>173</v>
      </c>
      <c r="I18" s="779"/>
      <c r="J18" s="779"/>
      <c r="K18" s="779"/>
      <c r="L18" s="779"/>
      <c r="M18" s="779"/>
      <c r="N18" s="779"/>
    </row>
    <row r="19" spans="1:14" ht="56.15" customHeight="1">
      <c r="A19" s="768">
        <v>11</v>
      </c>
      <c r="B19" s="769" t="s">
        <v>174</v>
      </c>
      <c r="C19" s="770"/>
      <c r="D19" s="770"/>
      <c r="E19" s="770"/>
      <c r="F19" s="770"/>
      <c r="G19" s="771">
        <v>11</v>
      </c>
      <c r="H19" s="778" t="s">
        <v>175</v>
      </c>
      <c r="I19" s="779"/>
      <c r="J19" s="779"/>
      <c r="K19" s="779"/>
      <c r="L19" s="779"/>
      <c r="M19" s="779"/>
      <c r="N19" s="779"/>
    </row>
    <row r="20" spans="1:14" ht="56.15" customHeight="1">
      <c r="A20" s="768">
        <v>12</v>
      </c>
      <c r="B20" s="769" t="s">
        <v>176</v>
      </c>
      <c r="C20" s="770"/>
      <c r="D20" s="770"/>
      <c r="E20" s="770"/>
      <c r="F20" s="770"/>
      <c r="G20" s="771">
        <v>12</v>
      </c>
      <c r="H20" s="778" t="s">
        <v>177</v>
      </c>
      <c r="I20" s="779"/>
      <c r="J20" s="779"/>
      <c r="K20" s="779"/>
      <c r="L20" s="779"/>
      <c r="M20" s="779"/>
      <c r="N20" s="779"/>
    </row>
    <row r="21" spans="1:14" ht="56.15" customHeight="1">
      <c r="A21" s="768">
        <v>13</v>
      </c>
      <c r="B21" s="769" t="s">
        <v>178</v>
      </c>
      <c r="C21" s="770"/>
      <c r="D21" s="770"/>
      <c r="E21" s="770"/>
      <c r="F21" s="770"/>
      <c r="G21" s="771">
        <v>13</v>
      </c>
      <c r="H21" s="778" t="s">
        <v>179</v>
      </c>
      <c r="I21" s="779"/>
      <c r="J21" s="779"/>
      <c r="K21" s="779"/>
      <c r="L21" s="779"/>
      <c r="M21" s="779"/>
      <c r="N21" s="779"/>
    </row>
    <row r="22" spans="1:14" ht="56.15" customHeight="1">
      <c r="A22" s="768">
        <v>14</v>
      </c>
      <c r="B22" s="769" t="s">
        <v>180</v>
      </c>
      <c r="C22" s="770"/>
      <c r="D22" s="770"/>
      <c r="E22" s="770"/>
      <c r="F22" s="770"/>
      <c r="G22" s="771">
        <v>14</v>
      </c>
      <c r="H22" s="778" t="s">
        <v>181</v>
      </c>
      <c r="I22" s="779"/>
      <c r="J22" s="779"/>
      <c r="K22" s="779"/>
      <c r="L22" s="779"/>
      <c r="M22" s="779"/>
      <c r="N22" s="779"/>
    </row>
    <row r="23" spans="1:14" ht="56.15" customHeight="1">
      <c r="A23" s="768">
        <v>15</v>
      </c>
      <c r="B23" s="780" t="s">
        <v>182</v>
      </c>
      <c r="C23" s="781"/>
      <c r="D23" s="781"/>
      <c r="E23" s="781"/>
      <c r="F23" s="782"/>
      <c r="G23" s="771">
        <v>15</v>
      </c>
      <c r="H23" s="778" t="s">
        <v>183</v>
      </c>
      <c r="I23" s="779"/>
      <c r="J23" s="779"/>
      <c r="K23" s="779"/>
      <c r="L23" s="779"/>
      <c r="M23" s="779"/>
      <c r="N23" s="779"/>
    </row>
    <row r="24" spans="1:14" ht="56.15" customHeight="1">
      <c r="A24" s="768">
        <v>16</v>
      </c>
      <c r="B24" s="769" t="s">
        <v>184</v>
      </c>
      <c r="C24" s="770"/>
      <c r="D24" s="770"/>
      <c r="E24" s="770"/>
      <c r="F24" s="770"/>
      <c r="G24" s="771">
        <v>16</v>
      </c>
      <c r="H24" s="778" t="s">
        <v>185</v>
      </c>
      <c r="I24" s="779"/>
      <c r="J24" s="779"/>
      <c r="K24" s="779"/>
      <c r="L24" s="779"/>
      <c r="M24" s="779"/>
      <c r="N24" s="779"/>
    </row>
    <row r="25" spans="1:14" ht="72" customHeight="1">
      <c r="A25" s="768">
        <v>17</v>
      </c>
      <c r="B25" s="780" t="s">
        <v>186</v>
      </c>
      <c r="C25" s="781"/>
      <c r="D25" s="781"/>
      <c r="E25" s="781"/>
      <c r="F25" s="782"/>
      <c r="G25" s="771">
        <v>17</v>
      </c>
      <c r="H25" s="769" t="s">
        <v>187</v>
      </c>
      <c r="I25" s="770"/>
      <c r="J25" s="770"/>
      <c r="K25" s="770"/>
      <c r="L25" s="770"/>
      <c r="M25" s="770"/>
      <c r="N25" s="770"/>
    </row>
    <row r="26" spans="1:14" ht="72" customHeight="1">
      <c r="A26" s="768">
        <v>18</v>
      </c>
      <c r="B26" s="780" t="s">
        <v>188</v>
      </c>
      <c r="C26" s="781"/>
      <c r="D26" s="781"/>
      <c r="E26" s="781"/>
      <c r="F26" s="782"/>
      <c r="G26" s="771">
        <v>18</v>
      </c>
      <c r="H26" s="780" t="s">
        <v>189</v>
      </c>
      <c r="I26" s="781"/>
      <c r="J26" s="781"/>
      <c r="K26" s="781"/>
      <c r="L26" s="781"/>
      <c r="M26" s="781"/>
      <c r="N26" s="782"/>
    </row>
    <row r="27" spans="1:14" ht="72" customHeight="1">
      <c r="A27" s="768">
        <v>19</v>
      </c>
      <c r="B27" s="780" t="s">
        <v>190</v>
      </c>
      <c r="C27" s="781"/>
      <c r="D27" s="781"/>
      <c r="E27" s="781"/>
      <c r="F27" s="782"/>
      <c r="G27" s="771">
        <v>19</v>
      </c>
      <c r="H27" s="780" t="s">
        <v>189</v>
      </c>
      <c r="I27" s="781"/>
      <c r="J27" s="781"/>
      <c r="K27" s="781"/>
      <c r="L27" s="781"/>
      <c r="M27" s="781"/>
      <c r="N27" s="782"/>
    </row>
    <row r="28" spans="1:14" ht="72" customHeight="1">
      <c r="A28" s="768">
        <v>20</v>
      </c>
      <c r="B28" s="780" t="s">
        <v>191</v>
      </c>
      <c r="C28" s="781"/>
      <c r="D28" s="781"/>
      <c r="E28" s="781"/>
      <c r="F28" s="782"/>
      <c r="G28" s="771">
        <v>20</v>
      </c>
      <c r="H28" s="780" t="s">
        <v>192</v>
      </c>
      <c r="I28" s="781"/>
      <c r="J28" s="781"/>
      <c r="K28" s="781"/>
      <c r="L28" s="781"/>
      <c r="M28" s="781"/>
      <c r="N28" s="782"/>
    </row>
    <row r="29" spans="1:14" ht="72" customHeight="1">
      <c r="A29" s="768">
        <v>21</v>
      </c>
      <c r="B29" s="780" t="s">
        <v>186</v>
      </c>
      <c r="C29" s="781"/>
      <c r="D29" s="781"/>
      <c r="E29" s="781"/>
      <c r="F29" s="782"/>
      <c r="G29" s="771">
        <v>21</v>
      </c>
      <c r="H29" s="769" t="s">
        <v>187</v>
      </c>
      <c r="I29" s="770"/>
      <c r="J29" s="770"/>
      <c r="K29" s="770"/>
      <c r="L29" s="770"/>
      <c r="M29" s="770"/>
      <c r="N29" s="770"/>
    </row>
    <row r="30" spans="1:14" ht="72" customHeight="1">
      <c r="A30" s="783"/>
      <c r="B30" s="784"/>
      <c r="C30" s="785"/>
      <c r="D30" s="785"/>
      <c r="E30" s="785"/>
      <c r="F30" s="785"/>
      <c r="G30" s="786"/>
      <c r="H30" s="785"/>
      <c r="I30" s="785"/>
      <c r="J30" s="785"/>
      <c r="K30" s="785"/>
      <c r="L30" s="785"/>
      <c r="M30" s="785"/>
      <c r="N30" s="787"/>
    </row>
    <row r="31" spans="1:14" ht="47.15" customHeight="1">
      <c r="A31" s="788"/>
      <c r="B31" s="789"/>
      <c r="C31" s="790"/>
      <c r="D31" s="790"/>
      <c r="E31" s="790"/>
      <c r="F31" s="790"/>
      <c r="G31" s="790"/>
      <c r="H31" s="790"/>
      <c r="I31" s="790"/>
      <c r="J31" s="790"/>
      <c r="K31" s="790"/>
      <c r="L31" s="790"/>
      <c r="M31" s="790"/>
      <c r="N31" s="791"/>
    </row>
    <row r="32" spans="1:14" ht="47.15" customHeight="1">
      <c r="A32" s="549" t="s">
        <v>193</v>
      </c>
      <c r="B32" s="550"/>
      <c r="C32" s="550"/>
      <c r="D32" s="550"/>
      <c r="E32" s="550"/>
      <c r="F32" s="550"/>
      <c r="G32" s="550"/>
      <c r="H32" s="550"/>
      <c r="I32" s="550"/>
      <c r="J32" s="550"/>
      <c r="K32" s="550"/>
      <c r="L32" s="550"/>
      <c r="M32" s="550"/>
      <c r="N32" s="551"/>
    </row>
    <row r="33" spans="1:14" ht="47.15" customHeight="1">
      <c r="A33" s="792" t="s">
        <v>151</v>
      </c>
      <c r="B33" s="535" t="s">
        <v>194</v>
      </c>
      <c r="C33" s="536"/>
      <c r="D33" s="536"/>
      <c r="E33" s="536"/>
      <c r="F33" s="536"/>
      <c r="G33" s="127" t="s">
        <v>151</v>
      </c>
      <c r="H33" s="535" t="s">
        <v>195</v>
      </c>
      <c r="I33" s="536"/>
      <c r="J33" s="536"/>
      <c r="K33" s="536"/>
      <c r="L33" s="536"/>
      <c r="M33" s="536"/>
      <c r="N33" s="536"/>
    </row>
    <row r="34" spans="1:14" ht="47.15" customHeight="1">
      <c r="A34" s="793">
        <v>1</v>
      </c>
      <c r="B34" s="769" t="s">
        <v>196</v>
      </c>
      <c r="C34" s="770"/>
      <c r="D34" s="770"/>
      <c r="E34" s="770"/>
      <c r="F34" s="770"/>
      <c r="G34" s="771">
        <v>1</v>
      </c>
      <c r="H34" s="794" t="s">
        <v>197</v>
      </c>
      <c r="I34" s="795"/>
      <c r="J34" s="795"/>
      <c r="K34" s="795"/>
      <c r="L34" s="795"/>
      <c r="M34" s="795"/>
      <c r="N34" s="795"/>
    </row>
    <row r="35" spans="1:14" ht="47.15" customHeight="1">
      <c r="A35" s="793">
        <v>2</v>
      </c>
      <c r="B35" s="769" t="s">
        <v>198</v>
      </c>
      <c r="C35" s="770"/>
      <c r="D35" s="770"/>
      <c r="E35" s="770"/>
      <c r="F35" s="770"/>
      <c r="G35" s="771">
        <v>2</v>
      </c>
      <c r="H35" s="769" t="s">
        <v>199</v>
      </c>
      <c r="I35" s="770"/>
      <c r="J35" s="770"/>
      <c r="K35" s="770"/>
      <c r="L35" s="770"/>
      <c r="M35" s="770"/>
      <c r="N35" s="770"/>
    </row>
    <row r="36" spans="1:14" ht="47.15" customHeight="1">
      <c r="A36" s="793">
        <v>3</v>
      </c>
      <c r="B36" s="769" t="s">
        <v>200</v>
      </c>
      <c r="C36" s="770"/>
      <c r="D36" s="770"/>
      <c r="E36" s="770"/>
      <c r="F36" s="770"/>
      <c r="G36" s="771">
        <v>3</v>
      </c>
      <c r="H36" s="769" t="s">
        <v>201</v>
      </c>
      <c r="I36" s="770"/>
      <c r="J36" s="770"/>
      <c r="K36" s="770"/>
      <c r="L36" s="770"/>
      <c r="M36" s="770"/>
      <c r="N36" s="770"/>
    </row>
    <row r="37" spans="1:14" ht="47.15" customHeight="1">
      <c r="A37" s="793">
        <v>4</v>
      </c>
      <c r="B37" s="769" t="s">
        <v>202</v>
      </c>
      <c r="C37" s="770"/>
      <c r="D37" s="770"/>
      <c r="E37" s="770"/>
      <c r="F37" s="770"/>
      <c r="G37" s="771">
        <v>4</v>
      </c>
      <c r="H37" s="769" t="s">
        <v>203</v>
      </c>
      <c r="I37" s="770"/>
      <c r="J37" s="770"/>
      <c r="K37" s="770"/>
      <c r="L37" s="770"/>
      <c r="M37" s="770"/>
      <c r="N37" s="770"/>
    </row>
    <row r="38" spans="1:14" ht="47.15" customHeight="1">
      <c r="A38" s="793">
        <v>5</v>
      </c>
      <c r="B38" s="769" t="s">
        <v>204</v>
      </c>
      <c r="C38" s="770"/>
      <c r="D38" s="770"/>
      <c r="E38" s="770"/>
      <c r="F38" s="770"/>
      <c r="G38" s="771">
        <v>5</v>
      </c>
      <c r="H38" s="769" t="s">
        <v>205</v>
      </c>
      <c r="I38" s="770"/>
      <c r="J38" s="770"/>
      <c r="K38" s="770"/>
      <c r="L38" s="770"/>
      <c r="M38" s="770"/>
      <c r="N38" s="770"/>
    </row>
    <row r="39" spans="1:14" ht="47.15" customHeight="1">
      <c r="A39" s="793">
        <v>6</v>
      </c>
      <c r="B39" s="769" t="s">
        <v>206</v>
      </c>
      <c r="C39" s="770"/>
      <c r="D39" s="770"/>
      <c r="E39" s="770"/>
      <c r="F39" s="770"/>
      <c r="G39" s="771">
        <v>6</v>
      </c>
      <c r="H39" s="796" t="s">
        <v>207</v>
      </c>
      <c r="I39" s="797"/>
      <c r="J39" s="797"/>
      <c r="K39" s="797"/>
      <c r="L39" s="797"/>
      <c r="M39" s="797"/>
      <c r="N39" s="797"/>
    </row>
    <row r="40" spans="1:14" ht="47.15" customHeight="1">
      <c r="A40" s="793">
        <v>7</v>
      </c>
      <c r="B40" s="769" t="s">
        <v>208</v>
      </c>
      <c r="C40" s="770"/>
      <c r="D40" s="770"/>
      <c r="E40" s="770"/>
      <c r="F40" s="770"/>
      <c r="G40" s="771">
        <v>7</v>
      </c>
      <c r="H40" s="769" t="s">
        <v>209</v>
      </c>
      <c r="I40" s="770"/>
      <c r="J40" s="770"/>
      <c r="K40" s="770"/>
      <c r="L40" s="770"/>
      <c r="M40" s="770"/>
      <c r="N40" s="770"/>
    </row>
    <row r="41" spans="1:14" ht="47.15" customHeight="1">
      <c r="A41" s="793">
        <v>8</v>
      </c>
      <c r="B41" s="769" t="s">
        <v>210</v>
      </c>
      <c r="C41" s="770"/>
      <c r="D41" s="770"/>
      <c r="E41" s="770"/>
      <c r="F41" s="770"/>
      <c r="G41" s="771">
        <v>8</v>
      </c>
      <c r="H41" s="769" t="s">
        <v>211</v>
      </c>
      <c r="I41" s="770"/>
      <c r="J41" s="770"/>
      <c r="K41" s="770"/>
      <c r="L41" s="770"/>
      <c r="M41" s="770"/>
      <c r="N41" s="770"/>
    </row>
    <row r="42" spans="1:14" ht="47.15" customHeight="1">
      <c r="A42" s="793">
        <v>9</v>
      </c>
      <c r="B42" s="769" t="s">
        <v>212</v>
      </c>
      <c r="C42" s="770"/>
      <c r="D42" s="770"/>
      <c r="E42" s="770"/>
      <c r="F42" s="770"/>
      <c r="G42" s="771">
        <v>9</v>
      </c>
      <c r="H42" s="769" t="s">
        <v>213</v>
      </c>
      <c r="I42" s="770"/>
      <c r="J42" s="770"/>
      <c r="K42" s="770"/>
      <c r="L42" s="770"/>
      <c r="M42" s="770"/>
      <c r="N42" s="770"/>
    </row>
    <row r="43" spans="1:14" ht="61" customHeight="1">
      <c r="A43" s="793">
        <v>10</v>
      </c>
      <c r="B43" s="798" t="s">
        <v>214</v>
      </c>
      <c r="C43" s="799"/>
      <c r="D43" s="799"/>
      <c r="E43" s="799"/>
      <c r="F43" s="800"/>
      <c r="G43" s="771">
        <v>10</v>
      </c>
      <c r="H43" s="778" t="s">
        <v>215</v>
      </c>
      <c r="I43" s="797"/>
      <c r="J43" s="797"/>
      <c r="K43" s="797"/>
      <c r="L43" s="797"/>
      <c r="M43" s="797"/>
      <c r="N43" s="797"/>
    </row>
    <row r="44" spans="1:14" ht="47.15" customHeight="1">
      <c r="A44" s="793">
        <v>11</v>
      </c>
      <c r="B44" s="798" t="s">
        <v>216</v>
      </c>
      <c r="C44" s="799"/>
      <c r="D44" s="799"/>
      <c r="E44" s="799"/>
      <c r="F44" s="800"/>
      <c r="G44" s="771">
        <v>11</v>
      </c>
      <c r="H44" s="798" t="s">
        <v>217</v>
      </c>
      <c r="I44" s="799"/>
      <c r="J44" s="799"/>
      <c r="K44" s="799"/>
      <c r="L44" s="799"/>
      <c r="M44" s="799"/>
      <c r="N44" s="800"/>
    </row>
    <row r="45" spans="1:14" ht="47.15" customHeight="1">
      <c r="A45" s="793">
        <v>12</v>
      </c>
      <c r="B45" s="801" t="s">
        <v>218</v>
      </c>
      <c r="C45" s="802"/>
      <c r="D45" s="802"/>
      <c r="E45" s="802"/>
      <c r="F45" s="803"/>
      <c r="G45" s="771">
        <v>12</v>
      </c>
      <c r="H45" s="796" t="s">
        <v>219</v>
      </c>
      <c r="I45" s="797"/>
      <c r="J45" s="797"/>
      <c r="K45" s="797"/>
      <c r="L45" s="797"/>
      <c r="M45" s="797"/>
      <c r="N45" s="797"/>
    </row>
    <row r="46" spans="1:14" ht="47.15" customHeight="1">
      <c r="A46" s="793">
        <v>13</v>
      </c>
      <c r="B46" s="798" t="s">
        <v>220</v>
      </c>
      <c r="C46" s="799"/>
      <c r="D46" s="799"/>
      <c r="E46" s="799"/>
      <c r="F46" s="800"/>
      <c r="G46" s="771">
        <v>13</v>
      </c>
      <c r="H46" s="796" t="s">
        <v>221</v>
      </c>
      <c r="I46" s="797"/>
      <c r="J46" s="797"/>
      <c r="K46" s="797"/>
      <c r="L46" s="797"/>
      <c r="M46" s="797"/>
      <c r="N46" s="797"/>
    </row>
    <row r="47" spans="1:14" ht="86.15" customHeight="1">
      <c r="A47" s="793">
        <v>14</v>
      </c>
      <c r="B47" s="801" t="s">
        <v>222</v>
      </c>
      <c r="C47" s="802"/>
      <c r="D47" s="802"/>
      <c r="E47" s="802"/>
      <c r="F47" s="803"/>
      <c r="G47" s="771">
        <v>14</v>
      </c>
      <c r="H47" s="778" t="s">
        <v>223</v>
      </c>
      <c r="I47" s="797"/>
      <c r="J47" s="797"/>
      <c r="K47" s="797"/>
      <c r="L47" s="797"/>
      <c r="M47" s="797"/>
      <c r="N47" s="797"/>
    </row>
    <row r="48" spans="1:14" ht="47.15" customHeight="1">
      <c r="A48" s="793">
        <v>15</v>
      </c>
      <c r="B48" s="801" t="s">
        <v>224</v>
      </c>
      <c r="C48" s="802"/>
      <c r="D48" s="802"/>
      <c r="E48" s="802"/>
      <c r="F48" s="803"/>
      <c r="G48" s="771">
        <v>15</v>
      </c>
      <c r="H48" s="804" t="s">
        <v>225</v>
      </c>
      <c r="I48" s="805"/>
      <c r="J48" s="805"/>
      <c r="K48" s="805"/>
      <c r="L48" s="805"/>
      <c r="M48" s="805"/>
      <c r="N48" s="805"/>
    </row>
    <row r="49" spans="1:14" ht="47.15" customHeight="1">
      <c r="A49" s="793">
        <v>16</v>
      </c>
      <c r="B49" s="778" t="s">
        <v>226</v>
      </c>
      <c r="C49" s="797"/>
      <c r="D49" s="797"/>
      <c r="E49" s="797"/>
      <c r="F49" s="797"/>
      <c r="G49" s="771">
        <v>16</v>
      </c>
      <c r="H49" s="778" t="s">
        <v>227</v>
      </c>
      <c r="I49" s="797"/>
      <c r="J49" s="797"/>
      <c r="K49" s="797"/>
      <c r="L49" s="797"/>
      <c r="M49" s="797"/>
      <c r="N49" s="797"/>
    </row>
    <row r="50" spans="1:14" ht="47.15" customHeight="1">
      <c r="A50" s="793">
        <v>17</v>
      </c>
      <c r="B50" s="798" t="s">
        <v>228</v>
      </c>
      <c r="C50" s="799"/>
      <c r="D50" s="799"/>
      <c r="E50" s="799"/>
      <c r="F50" s="800"/>
      <c r="G50" s="771">
        <v>17</v>
      </c>
      <c r="H50" s="778" t="s">
        <v>229</v>
      </c>
      <c r="I50" s="797"/>
      <c r="J50" s="797"/>
      <c r="K50" s="797"/>
      <c r="L50" s="797"/>
      <c r="M50" s="797"/>
      <c r="N50" s="797"/>
    </row>
    <row r="51" spans="1:14" ht="47.15" customHeight="1">
      <c r="A51" s="793">
        <v>18</v>
      </c>
      <c r="B51" s="798" t="s">
        <v>230</v>
      </c>
      <c r="C51" s="799"/>
      <c r="D51" s="799"/>
      <c r="E51" s="799"/>
      <c r="F51" s="800"/>
      <c r="G51" s="771">
        <v>18</v>
      </c>
      <c r="H51" s="806" t="s">
        <v>231</v>
      </c>
      <c r="I51" s="807"/>
      <c r="J51" s="807"/>
      <c r="K51" s="807"/>
      <c r="L51" s="807"/>
      <c r="M51" s="807"/>
      <c r="N51" s="808"/>
    </row>
    <row r="52" spans="1:14" ht="47.15" customHeight="1">
      <c r="A52" s="793">
        <v>19</v>
      </c>
      <c r="B52" s="801" t="s">
        <v>232</v>
      </c>
      <c r="C52" s="799"/>
      <c r="D52" s="799"/>
      <c r="E52" s="799"/>
      <c r="F52" s="800"/>
      <c r="G52" s="771">
        <v>19</v>
      </c>
      <c r="H52" s="806" t="s">
        <v>233</v>
      </c>
      <c r="I52" s="807"/>
      <c r="J52" s="807"/>
      <c r="K52" s="807"/>
      <c r="L52" s="807"/>
      <c r="M52" s="807"/>
      <c r="N52" s="808"/>
    </row>
    <row r="53" spans="1:14" ht="47.15" customHeight="1">
      <c r="A53" s="793">
        <v>20</v>
      </c>
      <c r="B53" s="801" t="s">
        <v>234</v>
      </c>
      <c r="C53" s="799"/>
      <c r="D53" s="799"/>
      <c r="E53" s="799"/>
      <c r="F53" s="800"/>
      <c r="G53" s="771">
        <v>20</v>
      </c>
      <c r="H53" s="809" t="s">
        <v>235</v>
      </c>
      <c r="I53" s="810"/>
      <c r="J53" s="810"/>
      <c r="K53" s="810"/>
      <c r="L53" s="810"/>
      <c r="M53" s="810"/>
      <c r="N53" s="811"/>
    </row>
    <row r="54" spans="1:14" ht="47.15" customHeight="1">
      <c r="A54" s="793">
        <v>21</v>
      </c>
      <c r="B54" s="798" t="s">
        <v>236</v>
      </c>
      <c r="C54" s="799"/>
      <c r="D54" s="799"/>
      <c r="E54" s="799"/>
      <c r="F54" s="800"/>
      <c r="G54" s="771">
        <v>21</v>
      </c>
      <c r="H54" s="801" t="s">
        <v>237</v>
      </c>
      <c r="I54" s="802"/>
      <c r="J54" s="802"/>
      <c r="K54" s="802"/>
      <c r="L54" s="802"/>
      <c r="M54" s="802"/>
      <c r="N54" s="803"/>
    </row>
  </sheetData>
  <mergeCells count="98">
    <mergeCell ref="B51:F51"/>
    <mergeCell ref="B52:F52"/>
    <mergeCell ref="B53:F53"/>
    <mergeCell ref="B54:F54"/>
    <mergeCell ref="H51:N51"/>
    <mergeCell ref="H52:N52"/>
    <mergeCell ref="H53:N53"/>
    <mergeCell ref="H54:N54"/>
    <mergeCell ref="H48:N48"/>
    <mergeCell ref="H49:N49"/>
    <mergeCell ref="H50:N50"/>
    <mergeCell ref="B31:N31"/>
    <mergeCell ref="H43:N43"/>
    <mergeCell ref="H44:N44"/>
    <mergeCell ref="H45:N45"/>
    <mergeCell ref="H46:N46"/>
    <mergeCell ref="H47:N47"/>
    <mergeCell ref="B48:F48"/>
    <mergeCell ref="B49:F49"/>
    <mergeCell ref="B50:F50"/>
    <mergeCell ref="B43:F43"/>
    <mergeCell ref="B44:F44"/>
    <mergeCell ref="B45:F45"/>
    <mergeCell ref="B46:F46"/>
    <mergeCell ref="B47:F47"/>
    <mergeCell ref="H25:N25"/>
    <mergeCell ref="B40:F40"/>
    <mergeCell ref="B41:F41"/>
    <mergeCell ref="A7:N7"/>
    <mergeCell ref="A32:N32"/>
    <mergeCell ref="B23:F23"/>
    <mergeCell ref="B25:F25"/>
    <mergeCell ref="B17:F17"/>
    <mergeCell ref="B15:F15"/>
    <mergeCell ref="B16:F16"/>
    <mergeCell ref="H24:N24"/>
    <mergeCell ref="B24:F24"/>
    <mergeCell ref="H23:N23"/>
    <mergeCell ref="B22:F22"/>
    <mergeCell ref="B21:F21"/>
    <mergeCell ref="B19:F19"/>
    <mergeCell ref="B18:F18"/>
    <mergeCell ref="D1:K1"/>
    <mergeCell ref="L1:N1"/>
    <mergeCell ref="D2:K3"/>
    <mergeCell ref="L2:N2"/>
    <mergeCell ref="L3:N3"/>
    <mergeCell ref="B9:F9"/>
    <mergeCell ref="H9:N9"/>
    <mergeCell ref="B11:F11"/>
    <mergeCell ref="H11:N11"/>
    <mergeCell ref="B10:F10"/>
    <mergeCell ref="H10:N10"/>
    <mergeCell ref="B8:F8"/>
    <mergeCell ref="H8:N8"/>
    <mergeCell ref="B12:F12"/>
    <mergeCell ref="H12:N12"/>
    <mergeCell ref="B13:F13"/>
    <mergeCell ref="H13:N13"/>
    <mergeCell ref="B14:F14"/>
    <mergeCell ref="H14:N14"/>
    <mergeCell ref="H15:N15"/>
    <mergeCell ref="H16:N16"/>
    <mergeCell ref="H17:N17"/>
    <mergeCell ref="H18:N18"/>
    <mergeCell ref="H19:N19"/>
    <mergeCell ref="B36:F36"/>
    <mergeCell ref="H36:N36"/>
    <mergeCell ref="H20:N20"/>
    <mergeCell ref="H21:N21"/>
    <mergeCell ref="H22:N22"/>
    <mergeCell ref="B34:F34"/>
    <mergeCell ref="H34:N34"/>
    <mergeCell ref="B20:F20"/>
    <mergeCell ref="B26:F26"/>
    <mergeCell ref="H26:N26"/>
    <mergeCell ref="B27:F27"/>
    <mergeCell ref="B28:F28"/>
    <mergeCell ref="B29:F29"/>
    <mergeCell ref="H27:N27"/>
    <mergeCell ref="H28:N28"/>
    <mergeCell ref="H29:N29"/>
    <mergeCell ref="H41:N41"/>
    <mergeCell ref="B39:F39"/>
    <mergeCell ref="B42:F42"/>
    <mergeCell ref="H42:N42"/>
    <mergeCell ref="A1:C3"/>
    <mergeCell ref="A4:N6"/>
    <mergeCell ref="B37:F37"/>
    <mergeCell ref="H37:N37"/>
    <mergeCell ref="B38:F38"/>
    <mergeCell ref="H38:N38"/>
    <mergeCell ref="H40:N40"/>
    <mergeCell ref="H39:N39"/>
    <mergeCell ref="B35:F35"/>
    <mergeCell ref="H35:N35"/>
    <mergeCell ref="B33:F33"/>
    <mergeCell ref="H33:N33"/>
  </mergeCells>
  <pageMargins left="0.7" right="0.7" top="0.75" bottom="0.75" header="0.3" footer="0.3"/>
  <pageSetup orientation="portrait"/>
  <headerFooter>
    <oddFooter>&amp;C&amp;"Helvetica Neue,Regular"&amp;12&amp;K000000&amp;P</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72"/>
  <sheetViews>
    <sheetView showGridLines="0" zoomScale="50" zoomScaleNormal="50" workbookViewId="0"/>
  </sheetViews>
  <sheetFormatPr baseColWidth="10" defaultColWidth="11.453125" defaultRowHeight="15" customHeight="1"/>
  <cols>
    <col min="1" max="1" width="11.453125" style="1" customWidth="1"/>
    <col min="2" max="2" width="116" style="1" customWidth="1"/>
    <col min="3" max="3" width="8.1796875" style="1" customWidth="1"/>
    <col min="4" max="4" width="126.453125" style="1" customWidth="1"/>
    <col min="5" max="5" width="8.26953125" style="1" customWidth="1"/>
    <col min="6" max="6" width="131" style="1" customWidth="1"/>
    <col min="7" max="8" width="11.453125" style="1" customWidth="1"/>
    <col min="9" max="16384" width="11.453125" style="1"/>
  </cols>
  <sheetData>
    <row r="1" spans="1:7" ht="15" customHeight="1">
      <c r="A1" s="128"/>
      <c r="B1" s="129"/>
      <c r="C1" s="129"/>
      <c r="D1" s="129"/>
      <c r="E1" s="130"/>
      <c r="F1" s="129"/>
      <c r="G1" s="131"/>
    </row>
    <row r="2" spans="1:7" ht="15" customHeight="1">
      <c r="A2" s="7"/>
      <c r="B2" s="8"/>
      <c r="C2" s="8"/>
      <c r="D2" s="8"/>
      <c r="E2" s="130"/>
      <c r="F2" s="8"/>
      <c r="G2" s="9"/>
    </row>
    <row r="3" spans="1:7" ht="15" customHeight="1">
      <c r="A3" s="7"/>
      <c r="B3" s="8"/>
      <c r="C3" s="8"/>
      <c r="D3" s="8"/>
      <c r="E3" s="130"/>
      <c r="F3" s="8"/>
      <c r="G3" s="9"/>
    </row>
    <row r="4" spans="1:7" ht="15" customHeight="1">
      <c r="A4" s="7"/>
      <c r="B4" s="8"/>
      <c r="C4" s="8"/>
      <c r="D4" s="8"/>
      <c r="E4" s="130"/>
      <c r="F4" s="8"/>
      <c r="G4" s="9"/>
    </row>
    <row r="5" spans="1:7" ht="15" customHeight="1">
      <c r="A5" s="7"/>
      <c r="B5" s="132"/>
      <c r="C5" s="132"/>
      <c r="D5" s="132"/>
      <c r="E5" s="133"/>
      <c r="F5" s="132"/>
      <c r="G5" s="9"/>
    </row>
    <row r="6" spans="1:7" ht="25.5" customHeight="1">
      <c r="A6" s="134"/>
      <c r="B6" s="565"/>
      <c r="C6" s="135"/>
      <c r="D6" s="136" t="s">
        <v>152</v>
      </c>
      <c r="E6" s="137"/>
      <c r="F6" s="136" t="s">
        <v>238</v>
      </c>
      <c r="G6" s="138"/>
    </row>
    <row r="7" spans="1:7" ht="36" customHeight="1">
      <c r="A7" s="134"/>
      <c r="B7" s="566"/>
      <c r="C7" s="139">
        <v>1</v>
      </c>
      <c r="D7" s="140" t="s">
        <v>154</v>
      </c>
      <c r="E7" s="141">
        <v>1</v>
      </c>
      <c r="F7" s="142" t="s">
        <v>239</v>
      </c>
      <c r="G7" s="138"/>
    </row>
    <row r="8" spans="1:7" ht="36" customHeight="1">
      <c r="A8" s="134"/>
      <c r="B8" s="566"/>
      <c r="C8" s="139">
        <v>2</v>
      </c>
      <c r="D8" s="143" t="s">
        <v>156</v>
      </c>
      <c r="E8" s="144">
        <v>2</v>
      </c>
      <c r="F8" s="145" t="s">
        <v>157</v>
      </c>
      <c r="G8" s="138"/>
    </row>
    <row r="9" spans="1:7" ht="36" customHeight="1">
      <c r="A9" s="134"/>
      <c r="B9" s="566"/>
      <c r="C9" s="139">
        <v>3</v>
      </c>
      <c r="D9" s="146" t="s">
        <v>158</v>
      </c>
      <c r="E9" s="141">
        <v>3</v>
      </c>
      <c r="F9" s="147" t="s">
        <v>159</v>
      </c>
      <c r="G9" s="138"/>
    </row>
    <row r="10" spans="1:7" ht="18.75" customHeight="1">
      <c r="A10" s="134"/>
      <c r="B10" s="566"/>
      <c r="C10" s="139">
        <v>4</v>
      </c>
      <c r="D10" s="146" t="s">
        <v>160</v>
      </c>
      <c r="E10" s="144">
        <v>4</v>
      </c>
      <c r="F10" s="142" t="s">
        <v>161</v>
      </c>
      <c r="G10" s="138"/>
    </row>
    <row r="11" spans="1:7" ht="18.75" customHeight="1">
      <c r="A11" s="134"/>
      <c r="B11" s="566"/>
      <c r="C11" s="139">
        <v>5</v>
      </c>
      <c r="D11" s="146" t="s">
        <v>162</v>
      </c>
      <c r="E11" s="141">
        <v>5</v>
      </c>
      <c r="F11" s="148" t="s">
        <v>163</v>
      </c>
      <c r="G11" s="9"/>
    </row>
    <row r="12" spans="1:7" ht="18.75" customHeight="1">
      <c r="A12" s="134"/>
      <c r="B12" s="566"/>
      <c r="C12" s="139">
        <v>6</v>
      </c>
      <c r="D12" s="146" t="s">
        <v>164</v>
      </c>
      <c r="E12" s="144">
        <v>6</v>
      </c>
      <c r="F12" s="142" t="s">
        <v>165</v>
      </c>
      <c r="G12" s="138"/>
    </row>
    <row r="13" spans="1:7" ht="18.75" customHeight="1">
      <c r="A13" s="134"/>
      <c r="B13" s="566"/>
      <c r="C13" s="139">
        <v>7</v>
      </c>
      <c r="D13" s="149" t="s">
        <v>166</v>
      </c>
      <c r="E13" s="141">
        <v>7</v>
      </c>
      <c r="F13" s="142" t="s">
        <v>167</v>
      </c>
      <c r="G13" s="138"/>
    </row>
    <row r="14" spans="1:7" ht="36" customHeight="1">
      <c r="A14" s="134"/>
      <c r="B14" s="566"/>
      <c r="C14" s="139">
        <v>8</v>
      </c>
      <c r="D14" s="146" t="s">
        <v>168</v>
      </c>
      <c r="E14" s="144">
        <v>8</v>
      </c>
      <c r="F14" s="142" t="s">
        <v>169</v>
      </c>
      <c r="G14" s="138"/>
    </row>
    <row r="15" spans="1:7" ht="36" customHeight="1">
      <c r="A15" s="134"/>
      <c r="B15" s="566"/>
      <c r="C15" s="139">
        <v>9</v>
      </c>
      <c r="D15" s="146" t="s">
        <v>170</v>
      </c>
      <c r="E15" s="141">
        <v>9</v>
      </c>
      <c r="F15" s="142" t="s">
        <v>171</v>
      </c>
      <c r="G15" s="138"/>
    </row>
    <row r="16" spans="1:7" ht="18.75" customHeight="1">
      <c r="A16" s="134"/>
      <c r="B16" s="566"/>
      <c r="C16" s="139">
        <v>10</v>
      </c>
      <c r="D16" s="146" t="s">
        <v>172</v>
      </c>
      <c r="E16" s="144">
        <v>10</v>
      </c>
      <c r="F16" s="142" t="s">
        <v>173</v>
      </c>
      <c r="G16" s="138"/>
    </row>
    <row r="17" spans="1:7" ht="18.75" customHeight="1">
      <c r="A17" s="134"/>
      <c r="B17" s="566"/>
      <c r="C17" s="139">
        <v>11</v>
      </c>
      <c r="D17" s="146" t="s">
        <v>174</v>
      </c>
      <c r="E17" s="141">
        <v>11</v>
      </c>
      <c r="F17" s="142" t="s">
        <v>175</v>
      </c>
      <c r="G17" s="138"/>
    </row>
    <row r="18" spans="1:7" ht="18.75" customHeight="1">
      <c r="A18" s="134"/>
      <c r="B18" s="566"/>
      <c r="C18" s="139">
        <v>12</v>
      </c>
      <c r="D18" s="146" t="s">
        <v>176</v>
      </c>
      <c r="E18" s="144">
        <v>12</v>
      </c>
      <c r="F18" s="142" t="s">
        <v>177</v>
      </c>
      <c r="G18" s="138"/>
    </row>
    <row r="19" spans="1:7" ht="36" customHeight="1">
      <c r="A19" s="134"/>
      <c r="B19" s="566"/>
      <c r="C19" s="139">
        <v>13</v>
      </c>
      <c r="D19" s="146" t="s">
        <v>178</v>
      </c>
      <c r="E19" s="141">
        <v>13</v>
      </c>
      <c r="F19" s="142" t="s">
        <v>179</v>
      </c>
      <c r="G19" s="138"/>
    </row>
    <row r="20" spans="1:7" ht="18.75" customHeight="1">
      <c r="A20" s="134"/>
      <c r="B20" s="566"/>
      <c r="C20" s="139">
        <v>14</v>
      </c>
      <c r="D20" s="146" t="s">
        <v>180</v>
      </c>
      <c r="E20" s="144">
        <v>14</v>
      </c>
      <c r="F20" s="142" t="s">
        <v>181</v>
      </c>
      <c r="G20" s="138"/>
    </row>
    <row r="21" spans="1:7" ht="18.75" customHeight="1">
      <c r="A21" s="134"/>
      <c r="B21" s="566"/>
      <c r="C21" s="139">
        <v>15</v>
      </c>
      <c r="D21" s="146" t="s">
        <v>182</v>
      </c>
      <c r="E21" s="141">
        <v>15</v>
      </c>
      <c r="F21" s="142" t="s">
        <v>183</v>
      </c>
      <c r="G21" s="138"/>
    </row>
    <row r="22" spans="1:7" ht="18.75" customHeight="1">
      <c r="A22" s="134"/>
      <c r="B22" s="566"/>
      <c r="C22" s="139">
        <v>16</v>
      </c>
      <c r="D22" s="146" t="s">
        <v>184</v>
      </c>
      <c r="E22" s="144">
        <v>16</v>
      </c>
      <c r="F22" s="142" t="s">
        <v>240</v>
      </c>
      <c r="G22" s="138"/>
    </row>
    <row r="23" spans="1:7" ht="50.15" customHeight="1">
      <c r="A23" s="134"/>
      <c r="B23" s="566"/>
      <c r="C23" s="139">
        <v>17</v>
      </c>
      <c r="D23" s="146" t="s">
        <v>186</v>
      </c>
      <c r="E23" s="141">
        <v>17</v>
      </c>
      <c r="F23" s="143" t="s">
        <v>241</v>
      </c>
      <c r="G23" s="138"/>
    </row>
    <row r="24" spans="1:7" ht="36" customHeight="1">
      <c r="A24" s="134"/>
      <c r="B24" s="566"/>
      <c r="C24" s="139">
        <v>18</v>
      </c>
      <c r="D24" s="146" t="s">
        <v>188</v>
      </c>
      <c r="E24" s="144">
        <v>18</v>
      </c>
      <c r="F24" s="146" t="s">
        <v>189</v>
      </c>
      <c r="G24" s="138"/>
    </row>
    <row r="25" spans="1:7" ht="18.75" customHeight="1">
      <c r="A25" s="134"/>
      <c r="B25" s="566"/>
      <c r="C25" s="139">
        <v>19</v>
      </c>
      <c r="D25" s="146" t="s">
        <v>190</v>
      </c>
      <c r="E25" s="141">
        <v>19</v>
      </c>
      <c r="F25" s="147" t="s">
        <v>242</v>
      </c>
      <c r="G25" s="138"/>
    </row>
    <row r="26" spans="1:7" ht="36" customHeight="1">
      <c r="A26" s="134"/>
      <c r="B26" s="566"/>
      <c r="C26" s="139">
        <v>20</v>
      </c>
      <c r="D26" s="146" t="s">
        <v>191</v>
      </c>
      <c r="E26" s="144">
        <v>20</v>
      </c>
      <c r="F26" s="146" t="s">
        <v>192</v>
      </c>
      <c r="G26" s="138"/>
    </row>
    <row r="27" spans="1:7" ht="36" customHeight="1">
      <c r="A27" s="134"/>
      <c r="B27" s="567"/>
      <c r="C27" s="139">
        <v>21</v>
      </c>
      <c r="D27" s="143" t="s">
        <v>186</v>
      </c>
      <c r="E27" s="141">
        <v>21</v>
      </c>
      <c r="F27" s="146" t="s">
        <v>241</v>
      </c>
      <c r="G27" s="138"/>
    </row>
    <row r="28" spans="1:7" ht="25.5" customHeight="1">
      <c r="A28" s="150"/>
      <c r="B28" s="136" t="s">
        <v>195</v>
      </c>
      <c r="C28" s="151"/>
      <c r="D28" s="136" t="s">
        <v>243</v>
      </c>
      <c r="E28" s="151"/>
      <c r="F28" s="136" t="s">
        <v>244</v>
      </c>
      <c r="G28" s="138"/>
    </row>
    <row r="29" spans="1:7" ht="56.25" customHeight="1">
      <c r="A29" s="152">
        <v>1</v>
      </c>
      <c r="B29" s="153" t="s">
        <v>197</v>
      </c>
      <c r="C29" s="154"/>
      <c r="D29" s="155" t="s">
        <v>245</v>
      </c>
      <c r="E29" s="156"/>
      <c r="F29" s="157" t="s">
        <v>246</v>
      </c>
      <c r="G29" s="138"/>
    </row>
    <row r="30" spans="1:7" ht="63" customHeight="1">
      <c r="A30" s="152">
        <v>2</v>
      </c>
      <c r="B30" s="143" t="s">
        <v>199</v>
      </c>
      <c r="C30" s="158"/>
      <c r="D30" s="142" t="s">
        <v>247</v>
      </c>
      <c r="E30" s="159"/>
      <c r="F30" s="142" t="s">
        <v>248</v>
      </c>
      <c r="G30" s="138"/>
    </row>
    <row r="31" spans="1:7" ht="55" customHeight="1">
      <c r="A31" s="152">
        <v>3</v>
      </c>
      <c r="B31" s="143" t="s">
        <v>201</v>
      </c>
      <c r="C31" s="158"/>
      <c r="D31" s="142" t="s">
        <v>249</v>
      </c>
      <c r="E31" s="156"/>
      <c r="F31" s="142" t="s">
        <v>250</v>
      </c>
      <c r="G31" s="138"/>
    </row>
    <row r="32" spans="1:7" ht="54" customHeight="1">
      <c r="A32" s="152">
        <v>4</v>
      </c>
      <c r="B32" s="143" t="s">
        <v>203</v>
      </c>
      <c r="C32" s="158"/>
      <c r="D32" s="142" t="s">
        <v>251</v>
      </c>
      <c r="E32" s="159"/>
      <c r="F32" s="157" t="s">
        <v>252</v>
      </c>
      <c r="G32" s="138"/>
    </row>
    <row r="33" spans="1:7" ht="36" customHeight="1">
      <c r="A33" s="152">
        <v>5</v>
      </c>
      <c r="B33" s="160" t="s">
        <v>205</v>
      </c>
      <c r="C33" s="158"/>
      <c r="D33" s="142" t="s">
        <v>253</v>
      </c>
      <c r="E33" s="156"/>
      <c r="F33" s="142" t="s">
        <v>254</v>
      </c>
      <c r="G33" s="138"/>
    </row>
    <row r="34" spans="1:7" ht="54" customHeight="1">
      <c r="A34" s="152">
        <v>6</v>
      </c>
      <c r="B34" s="145" t="s">
        <v>207</v>
      </c>
      <c r="C34" s="158"/>
      <c r="D34" s="142" t="s">
        <v>255</v>
      </c>
      <c r="E34" s="159"/>
      <c r="F34" s="142" t="s">
        <v>256</v>
      </c>
      <c r="G34" s="138"/>
    </row>
    <row r="35" spans="1:7" ht="67" customHeight="1">
      <c r="A35" s="161">
        <v>7</v>
      </c>
      <c r="B35" s="143" t="s">
        <v>209</v>
      </c>
      <c r="C35" s="158"/>
      <c r="D35" s="147" t="s">
        <v>257</v>
      </c>
      <c r="E35" s="159"/>
      <c r="F35" s="142" t="s">
        <v>258</v>
      </c>
      <c r="G35" s="138"/>
    </row>
    <row r="36" spans="1:7" ht="54" customHeight="1">
      <c r="A36" s="152">
        <v>8</v>
      </c>
      <c r="B36" s="143" t="s">
        <v>211</v>
      </c>
      <c r="C36" s="162"/>
      <c r="D36" s="142" t="s">
        <v>259</v>
      </c>
      <c r="E36" s="159"/>
      <c r="F36" s="142" t="s">
        <v>260</v>
      </c>
      <c r="G36" s="138"/>
    </row>
    <row r="37" spans="1:7" ht="54" customHeight="1">
      <c r="A37" s="152">
        <v>9</v>
      </c>
      <c r="B37" s="143" t="s">
        <v>213</v>
      </c>
      <c r="C37" s="162"/>
      <c r="D37" s="142" t="s">
        <v>261</v>
      </c>
      <c r="E37" s="156"/>
      <c r="F37" s="157" t="s">
        <v>262</v>
      </c>
      <c r="G37" s="138"/>
    </row>
    <row r="38" spans="1:7" ht="54.75" customHeight="1">
      <c r="A38" s="152">
        <v>10</v>
      </c>
      <c r="B38" s="142" t="s">
        <v>215</v>
      </c>
      <c r="C38" s="163"/>
      <c r="D38" s="142" t="s">
        <v>263</v>
      </c>
      <c r="E38" s="159"/>
      <c r="F38" s="157" t="s">
        <v>264</v>
      </c>
      <c r="G38" s="138"/>
    </row>
    <row r="39" spans="1:7" ht="54.75" customHeight="1">
      <c r="A39" s="152">
        <v>11</v>
      </c>
      <c r="B39" s="145" t="s">
        <v>217</v>
      </c>
      <c r="C39" s="164"/>
      <c r="D39" s="142" t="s">
        <v>265</v>
      </c>
      <c r="E39" s="156"/>
      <c r="F39" s="157" t="s">
        <v>266</v>
      </c>
      <c r="G39" s="138"/>
    </row>
    <row r="40" spans="1:7" ht="72" customHeight="1">
      <c r="A40" s="152">
        <v>12</v>
      </c>
      <c r="B40" s="145" t="s">
        <v>219</v>
      </c>
      <c r="C40" s="165"/>
      <c r="D40" s="142" t="s">
        <v>267</v>
      </c>
      <c r="E40" s="159"/>
      <c r="F40" s="142" t="s">
        <v>268</v>
      </c>
      <c r="G40" s="138"/>
    </row>
    <row r="41" spans="1:7" ht="54.75" customHeight="1">
      <c r="A41" s="152">
        <v>13</v>
      </c>
      <c r="B41" s="145" t="s">
        <v>221</v>
      </c>
      <c r="C41" s="162"/>
      <c r="D41" s="142" t="s">
        <v>269</v>
      </c>
      <c r="E41" s="156"/>
      <c r="F41" s="157" t="s">
        <v>270</v>
      </c>
      <c r="G41" s="138"/>
    </row>
    <row r="42" spans="1:7" ht="54.75" customHeight="1">
      <c r="A42" s="152">
        <v>14</v>
      </c>
      <c r="B42" s="142" t="s">
        <v>223</v>
      </c>
      <c r="C42" s="162"/>
      <c r="D42" s="142" t="s">
        <v>271</v>
      </c>
      <c r="E42" s="159"/>
      <c r="F42" s="157" t="s">
        <v>272</v>
      </c>
      <c r="G42" s="138"/>
    </row>
    <row r="43" spans="1:7" ht="72" customHeight="1">
      <c r="A43" s="152">
        <v>15</v>
      </c>
      <c r="B43" s="142" t="s">
        <v>225</v>
      </c>
      <c r="C43" s="166"/>
      <c r="D43" s="142" t="s">
        <v>273</v>
      </c>
      <c r="E43" s="156"/>
      <c r="F43" s="147" t="s">
        <v>274</v>
      </c>
      <c r="G43" s="138"/>
    </row>
    <row r="44" spans="1:7" ht="54.75" customHeight="1">
      <c r="A44" s="152">
        <v>16</v>
      </c>
      <c r="B44" s="142" t="s">
        <v>227</v>
      </c>
      <c r="C44" s="164"/>
      <c r="D44" s="568"/>
      <c r="E44" s="159"/>
      <c r="F44" s="157" t="s">
        <v>275</v>
      </c>
      <c r="G44" s="138"/>
    </row>
    <row r="45" spans="1:7" ht="54.75" customHeight="1">
      <c r="A45" s="152">
        <v>17</v>
      </c>
      <c r="B45" s="142" t="s">
        <v>229</v>
      </c>
      <c r="C45" s="162"/>
      <c r="D45" s="569"/>
      <c r="E45" s="156"/>
      <c r="F45" s="157" t="s">
        <v>276</v>
      </c>
      <c r="G45" s="138"/>
    </row>
    <row r="46" spans="1:7" ht="36.75" customHeight="1">
      <c r="A46" s="152">
        <v>18</v>
      </c>
      <c r="B46" s="167" t="s">
        <v>231</v>
      </c>
      <c r="C46" s="158"/>
      <c r="D46" s="569"/>
      <c r="E46" s="159"/>
      <c r="F46" s="157" t="s">
        <v>277</v>
      </c>
      <c r="G46" s="138"/>
    </row>
    <row r="47" spans="1:7" ht="36.75" customHeight="1">
      <c r="A47" s="152">
        <v>19</v>
      </c>
      <c r="B47" s="167" t="s">
        <v>233</v>
      </c>
      <c r="C47" s="158"/>
      <c r="D47" s="569"/>
      <c r="E47" s="156"/>
      <c r="F47" s="157" t="s">
        <v>278</v>
      </c>
      <c r="G47" s="138"/>
    </row>
    <row r="48" spans="1:7" ht="36.75" customHeight="1">
      <c r="A48" s="152">
        <v>20</v>
      </c>
      <c r="B48" s="167" t="s">
        <v>279</v>
      </c>
      <c r="C48" s="158"/>
      <c r="D48" s="569"/>
      <c r="E48" s="159"/>
      <c r="F48" s="157" t="s">
        <v>280</v>
      </c>
      <c r="G48" s="138"/>
    </row>
    <row r="49" spans="1:7" ht="36.75" customHeight="1">
      <c r="A49" s="560">
        <v>21</v>
      </c>
      <c r="B49" s="562" t="s">
        <v>281</v>
      </c>
      <c r="C49" s="564"/>
      <c r="D49" s="569"/>
      <c r="E49" s="156"/>
      <c r="F49" s="157" t="s">
        <v>282</v>
      </c>
      <c r="G49" s="138"/>
    </row>
    <row r="50" spans="1:7" ht="36.75" customHeight="1">
      <c r="A50" s="561"/>
      <c r="B50" s="563"/>
      <c r="C50" s="564"/>
      <c r="D50" s="570"/>
      <c r="E50" s="159"/>
      <c r="F50" s="157" t="s">
        <v>283</v>
      </c>
      <c r="G50" s="138"/>
    </row>
    <row r="51" spans="1:7" ht="25.5" customHeight="1">
      <c r="A51" s="168"/>
      <c r="B51" s="136" t="s">
        <v>284</v>
      </c>
      <c r="C51" s="169"/>
      <c r="D51" s="136" t="s">
        <v>285</v>
      </c>
      <c r="E51" s="137"/>
      <c r="F51" s="136" t="s">
        <v>286</v>
      </c>
      <c r="G51" s="138"/>
    </row>
    <row r="52" spans="1:7" ht="65.150000000000006" customHeight="1">
      <c r="A52" s="152">
        <v>1</v>
      </c>
      <c r="B52" s="142" t="s">
        <v>196</v>
      </c>
      <c r="C52" s="165"/>
      <c r="D52" s="142" t="s">
        <v>287</v>
      </c>
      <c r="E52" s="170"/>
      <c r="F52" s="142" t="s">
        <v>288</v>
      </c>
      <c r="G52" s="138"/>
    </row>
    <row r="53" spans="1:7" ht="74.150000000000006" customHeight="1">
      <c r="A53" s="152">
        <v>2</v>
      </c>
      <c r="B53" s="142" t="s">
        <v>198</v>
      </c>
      <c r="C53" s="165"/>
      <c r="D53" s="147" t="s">
        <v>289</v>
      </c>
      <c r="E53" s="170"/>
      <c r="F53" s="142" t="s">
        <v>290</v>
      </c>
      <c r="G53" s="138"/>
    </row>
    <row r="54" spans="1:7" ht="45" customHeight="1">
      <c r="A54" s="152">
        <v>3</v>
      </c>
      <c r="B54" s="142" t="s">
        <v>200</v>
      </c>
      <c r="C54" s="165"/>
      <c r="D54" s="142" t="s">
        <v>291</v>
      </c>
      <c r="E54" s="170"/>
      <c r="F54" s="142" t="s">
        <v>292</v>
      </c>
      <c r="G54" s="138"/>
    </row>
    <row r="55" spans="1:7" ht="54" customHeight="1">
      <c r="A55" s="152">
        <v>4</v>
      </c>
      <c r="B55" s="142" t="s">
        <v>202</v>
      </c>
      <c r="C55" s="165"/>
      <c r="D55" s="142" t="s">
        <v>293</v>
      </c>
      <c r="E55" s="170"/>
      <c r="F55" s="142" t="s">
        <v>294</v>
      </c>
      <c r="G55" s="138"/>
    </row>
    <row r="56" spans="1:7" ht="54" customHeight="1">
      <c r="A56" s="152">
        <v>5</v>
      </c>
      <c r="B56" s="142" t="s">
        <v>204</v>
      </c>
      <c r="C56" s="165"/>
      <c r="D56" s="142" t="s">
        <v>295</v>
      </c>
      <c r="E56" s="170"/>
      <c r="F56" s="142" t="s">
        <v>296</v>
      </c>
      <c r="G56" s="138"/>
    </row>
    <row r="57" spans="1:7" ht="72" customHeight="1">
      <c r="A57" s="152">
        <v>6</v>
      </c>
      <c r="B57" s="142" t="s">
        <v>206</v>
      </c>
      <c r="C57" s="165"/>
      <c r="D57" s="142" t="s">
        <v>297</v>
      </c>
      <c r="E57" s="170"/>
      <c r="F57" s="142" t="s">
        <v>298</v>
      </c>
      <c r="G57" s="138"/>
    </row>
    <row r="58" spans="1:7" ht="54" customHeight="1">
      <c r="A58" s="152">
        <v>7</v>
      </c>
      <c r="B58" s="142" t="s">
        <v>208</v>
      </c>
      <c r="C58" s="165"/>
      <c r="D58" s="147" t="s">
        <v>299</v>
      </c>
      <c r="E58" s="170"/>
      <c r="F58" s="142" t="s">
        <v>300</v>
      </c>
      <c r="G58" s="138"/>
    </row>
    <row r="59" spans="1:7" ht="69" customHeight="1">
      <c r="A59" s="152">
        <v>8</v>
      </c>
      <c r="B59" s="142" t="s">
        <v>210</v>
      </c>
      <c r="C59" s="165"/>
      <c r="D59" s="147" t="s">
        <v>301</v>
      </c>
      <c r="E59" s="170"/>
      <c r="F59" s="142" t="s">
        <v>302</v>
      </c>
      <c r="G59" s="138"/>
    </row>
    <row r="60" spans="1:7" ht="54" customHeight="1">
      <c r="A60" s="152">
        <v>9</v>
      </c>
      <c r="B60" s="142" t="s">
        <v>212</v>
      </c>
      <c r="C60" s="171"/>
      <c r="D60" s="142" t="s">
        <v>303</v>
      </c>
      <c r="E60" s="170"/>
      <c r="F60" s="142" t="s">
        <v>304</v>
      </c>
      <c r="G60" s="138"/>
    </row>
    <row r="61" spans="1:7" ht="54" customHeight="1">
      <c r="A61" s="152">
        <v>10</v>
      </c>
      <c r="B61" s="145" t="s">
        <v>214</v>
      </c>
      <c r="C61" s="172"/>
      <c r="D61" s="142" t="s">
        <v>305</v>
      </c>
      <c r="E61" s="173"/>
      <c r="F61" s="142" t="s">
        <v>306</v>
      </c>
      <c r="G61" s="138"/>
    </row>
    <row r="62" spans="1:7" ht="36" customHeight="1">
      <c r="A62" s="152">
        <v>11</v>
      </c>
      <c r="B62" s="145" t="s">
        <v>216</v>
      </c>
      <c r="C62" s="172"/>
      <c r="D62" s="142" t="s">
        <v>307</v>
      </c>
      <c r="E62" s="173"/>
      <c r="F62" s="142" t="s">
        <v>308</v>
      </c>
      <c r="G62" s="138"/>
    </row>
    <row r="63" spans="1:7" ht="54" customHeight="1">
      <c r="A63" s="152">
        <v>12</v>
      </c>
      <c r="B63" s="142" t="s">
        <v>218</v>
      </c>
      <c r="C63" s="174"/>
      <c r="D63" s="142" t="s">
        <v>309</v>
      </c>
      <c r="E63" s="175"/>
      <c r="F63" s="142" t="s">
        <v>310</v>
      </c>
      <c r="G63" s="138"/>
    </row>
    <row r="64" spans="1:7" ht="36" customHeight="1">
      <c r="A64" s="152">
        <v>13</v>
      </c>
      <c r="B64" s="176" t="s">
        <v>220</v>
      </c>
      <c r="C64" s="172"/>
      <c r="D64" s="142" t="s">
        <v>311</v>
      </c>
      <c r="E64" s="173"/>
      <c r="F64" s="142" t="s">
        <v>312</v>
      </c>
      <c r="G64" s="138"/>
    </row>
    <row r="65" spans="1:7" ht="61" customHeight="1">
      <c r="A65" s="152">
        <v>14</v>
      </c>
      <c r="B65" s="142" t="s">
        <v>222</v>
      </c>
      <c r="C65" s="174"/>
      <c r="D65" s="142" t="s">
        <v>313</v>
      </c>
      <c r="E65" s="175"/>
      <c r="F65" s="142" t="s">
        <v>314</v>
      </c>
      <c r="G65" s="138"/>
    </row>
    <row r="66" spans="1:7" ht="54" customHeight="1">
      <c r="A66" s="152">
        <v>15</v>
      </c>
      <c r="B66" s="142" t="s">
        <v>224</v>
      </c>
      <c r="C66" s="174"/>
      <c r="D66" s="142" t="s">
        <v>315</v>
      </c>
      <c r="E66" s="175"/>
      <c r="F66" s="142" t="s">
        <v>316</v>
      </c>
      <c r="G66" s="138"/>
    </row>
    <row r="67" spans="1:7" ht="39" customHeight="1">
      <c r="A67" s="152">
        <v>16</v>
      </c>
      <c r="B67" s="142" t="s">
        <v>226</v>
      </c>
      <c r="C67" s="555"/>
      <c r="D67" s="552"/>
      <c r="E67" s="177"/>
      <c r="F67" s="142" t="s">
        <v>317</v>
      </c>
      <c r="G67" s="138"/>
    </row>
    <row r="68" spans="1:7" ht="45" customHeight="1">
      <c r="A68" s="152">
        <v>17</v>
      </c>
      <c r="B68" s="145" t="s">
        <v>318</v>
      </c>
      <c r="C68" s="556"/>
      <c r="D68" s="553"/>
      <c r="E68" s="178"/>
      <c r="F68" s="142" t="s">
        <v>319</v>
      </c>
      <c r="G68" s="138"/>
    </row>
    <row r="69" spans="1:7" ht="47.15" customHeight="1">
      <c r="A69" s="152">
        <v>18</v>
      </c>
      <c r="B69" s="145" t="s">
        <v>230</v>
      </c>
      <c r="C69" s="556"/>
      <c r="D69" s="553"/>
      <c r="E69" s="558"/>
      <c r="F69" s="142" t="s">
        <v>320</v>
      </c>
      <c r="G69" s="138"/>
    </row>
    <row r="70" spans="1:7" ht="57" customHeight="1">
      <c r="A70" s="152">
        <v>19</v>
      </c>
      <c r="B70" s="142" t="s">
        <v>232</v>
      </c>
      <c r="C70" s="556"/>
      <c r="D70" s="553"/>
      <c r="E70" s="558"/>
      <c r="F70" s="142" t="s">
        <v>321</v>
      </c>
      <c r="G70" s="138"/>
    </row>
    <row r="71" spans="1:7" ht="46" customHeight="1">
      <c r="A71" s="152">
        <v>20</v>
      </c>
      <c r="B71" s="142" t="s">
        <v>234</v>
      </c>
      <c r="C71" s="556"/>
      <c r="D71" s="553"/>
      <c r="E71" s="558"/>
      <c r="F71" s="142" t="s">
        <v>322</v>
      </c>
      <c r="G71" s="138"/>
    </row>
    <row r="72" spans="1:7" ht="20.25" customHeight="1">
      <c r="A72" s="152">
        <v>21</v>
      </c>
      <c r="B72" s="145" t="s">
        <v>236</v>
      </c>
      <c r="C72" s="557"/>
      <c r="D72" s="554"/>
      <c r="E72" s="559"/>
      <c r="F72" s="179"/>
      <c r="G72" s="180"/>
    </row>
  </sheetData>
  <mergeCells count="8">
    <mergeCell ref="B6:B27"/>
    <mergeCell ref="D44:D50"/>
    <mergeCell ref="D67:D72"/>
    <mergeCell ref="C67:C72"/>
    <mergeCell ref="E69:E72"/>
    <mergeCell ref="A49:A50"/>
    <mergeCell ref="B49:B50"/>
    <mergeCell ref="C49:C50"/>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S132"/>
  <sheetViews>
    <sheetView showGridLines="0" topLeftCell="A6" zoomScale="60" zoomScaleNormal="60" workbookViewId="0">
      <pane xSplit="1" ySplit="10" topLeftCell="B17" activePane="bottomRight" state="frozen"/>
      <selection activeCell="A6" sqref="A6"/>
      <selection pane="topRight" activeCell="B6" sqref="B6"/>
      <selection pane="bottomLeft" activeCell="A16" sqref="A16"/>
      <selection pane="bottomRight" activeCell="C19" sqref="C19"/>
    </sheetView>
  </sheetViews>
  <sheetFormatPr baseColWidth="10" defaultColWidth="11.453125" defaultRowHeight="15" customHeight="1"/>
  <cols>
    <col min="1" max="1" width="33.26953125" style="1" customWidth="1"/>
    <col min="2" max="2" width="90.1796875" style="1" customWidth="1"/>
    <col min="3" max="3" width="61" style="1" customWidth="1"/>
    <col min="4" max="15" width="6.453125" style="1" hidden="1" customWidth="1"/>
    <col min="16" max="33" width="6.453125" style="1" customWidth="1"/>
    <col min="34" max="34" width="46.54296875" style="282" bestFit="1" customWidth="1"/>
    <col min="35" max="39" width="11.453125" style="1" customWidth="1"/>
    <col min="40" max="16384" width="11.453125" style="1"/>
  </cols>
  <sheetData>
    <row r="1" spans="1:38" ht="21" customHeight="1">
      <c r="A1" s="582" t="s">
        <v>0</v>
      </c>
      <c r="B1" s="583"/>
      <c r="C1" s="420" t="s">
        <v>1</v>
      </c>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c r="AF1" s="421"/>
      <c r="AG1" s="578" t="s">
        <v>2</v>
      </c>
      <c r="AH1" s="579"/>
      <c r="AI1" s="181"/>
      <c r="AJ1" s="129"/>
      <c r="AK1" s="129"/>
      <c r="AL1" s="131"/>
    </row>
    <row r="2" spans="1:38" ht="41.5" customHeight="1">
      <c r="A2" s="583"/>
      <c r="B2" s="583"/>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579"/>
      <c r="AH2" s="579"/>
      <c r="AI2" s="182"/>
      <c r="AJ2" s="8"/>
      <c r="AK2" s="8"/>
      <c r="AL2" s="9"/>
    </row>
    <row r="3" spans="1:38" ht="15" customHeight="1">
      <c r="A3" s="583"/>
      <c r="B3" s="583"/>
      <c r="C3" s="421"/>
      <c r="D3" s="421"/>
      <c r="E3" s="421"/>
      <c r="F3" s="421"/>
      <c r="G3" s="421"/>
      <c r="H3" s="421"/>
      <c r="I3" s="421"/>
      <c r="J3" s="421"/>
      <c r="K3" s="421"/>
      <c r="L3" s="421"/>
      <c r="M3" s="421"/>
      <c r="N3" s="421"/>
      <c r="O3" s="421"/>
      <c r="P3" s="421"/>
      <c r="Q3" s="421"/>
      <c r="R3" s="421"/>
      <c r="S3" s="421"/>
      <c r="T3" s="421"/>
      <c r="U3" s="421"/>
      <c r="V3" s="421"/>
      <c r="W3" s="421"/>
      <c r="X3" s="421"/>
      <c r="Y3" s="421"/>
      <c r="Z3" s="421"/>
      <c r="AA3" s="421"/>
      <c r="AB3" s="421"/>
      <c r="AC3" s="421"/>
      <c r="AD3" s="421"/>
      <c r="AE3" s="421"/>
      <c r="AF3" s="421"/>
      <c r="AG3" s="580" t="s">
        <v>4</v>
      </c>
      <c r="AH3" s="581"/>
      <c r="AI3" s="182"/>
      <c r="AJ3" s="8"/>
      <c r="AK3" s="8"/>
      <c r="AL3" s="9"/>
    </row>
    <row r="4" spans="1:38" ht="15" customHeight="1">
      <c r="A4" s="583"/>
      <c r="B4" s="583"/>
      <c r="C4" s="426" t="s">
        <v>3</v>
      </c>
      <c r="D4" s="427"/>
      <c r="E4" s="427"/>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581"/>
      <c r="AH4" s="581"/>
      <c r="AI4" s="182"/>
      <c r="AJ4" s="8"/>
      <c r="AK4" s="8"/>
      <c r="AL4" s="9"/>
    </row>
    <row r="5" spans="1:38" ht="15" customHeight="1">
      <c r="A5" s="583"/>
      <c r="B5" s="583"/>
      <c r="C5" s="427"/>
      <c r="D5" s="427"/>
      <c r="E5" s="427"/>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580" t="s">
        <v>5</v>
      </c>
      <c r="AH5" s="581"/>
      <c r="AI5" s="182"/>
      <c r="AJ5" s="8"/>
      <c r="AK5" s="8"/>
      <c r="AL5" s="9"/>
    </row>
    <row r="6" spans="1:38" ht="37.9" customHeight="1">
      <c r="A6" s="583"/>
      <c r="B6" s="583"/>
      <c r="C6" s="427"/>
      <c r="D6" s="427"/>
      <c r="E6" s="427"/>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581"/>
      <c r="AH6" s="581"/>
      <c r="AI6" s="182"/>
      <c r="AJ6" s="8"/>
      <c r="AK6" s="8"/>
      <c r="AL6" s="9"/>
    </row>
    <row r="7" spans="1:38" ht="19.5" customHeight="1">
      <c r="A7" s="183"/>
      <c r="B7" s="184"/>
      <c r="C7" s="184"/>
      <c r="D7" s="184"/>
      <c r="E7" s="184"/>
      <c r="F7" s="184"/>
      <c r="G7" s="184"/>
      <c r="H7" s="184"/>
      <c r="I7" s="184"/>
      <c r="J7" s="184"/>
      <c r="K7" s="184"/>
      <c r="L7" s="184"/>
      <c r="M7" s="184"/>
      <c r="N7" s="184"/>
      <c r="O7" s="184"/>
      <c r="P7" s="184"/>
      <c r="Q7" s="184"/>
      <c r="R7" s="184"/>
      <c r="S7" s="184"/>
      <c r="T7" s="184"/>
      <c r="U7" s="184"/>
      <c r="V7" s="285"/>
      <c r="W7" s="285"/>
      <c r="X7" s="285"/>
      <c r="Y7" s="285"/>
      <c r="Z7" s="285"/>
      <c r="AA7" s="285"/>
      <c r="AB7" s="184"/>
      <c r="AC7" s="184"/>
      <c r="AD7" s="184"/>
      <c r="AE7" s="184"/>
      <c r="AF7" s="184"/>
      <c r="AG7" s="184"/>
      <c r="AH7" s="279"/>
      <c r="AI7" s="8"/>
      <c r="AJ7" s="8"/>
      <c r="AK7" s="8"/>
      <c r="AL7" s="9"/>
    </row>
    <row r="8" spans="1:38" ht="19.5" customHeight="1">
      <c r="A8" s="185"/>
      <c r="B8" s="13"/>
      <c r="C8" s="13"/>
      <c r="D8" s="13"/>
      <c r="E8" s="13"/>
      <c r="F8" s="13"/>
      <c r="G8" s="13"/>
      <c r="H8" s="13"/>
      <c r="I8" s="13"/>
      <c r="J8" s="13"/>
      <c r="K8" s="13"/>
      <c r="L8" s="13"/>
      <c r="M8" s="13"/>
      <c r="N8" s="13"/>
      <c r="O8" s="13"/>
      <c r="P8" s="13"/>
      <c r="Q8" s="13"/>
      <c r="R8" s="13"/>
      <c r="S8" s="13"/>
      <c r="T8" s="13"/>
      <c r="U8" s="13"/>
      <c r="V8" s="286"/>
      <c r="W8" s="286"/>
      <c r="X8" s="286"/>
      <c r="Y8" s="286"/>
      <c r="Z8" s="286"/>
      <c r="AA8" s="286"/>
      <c r="AB8" s="13"/>
      <c r="AC8" s="13"/>
      <c r="AD8" s="13"/>
      <c r="AE8" s="13"/>
      <c r="AF8" s="13"/>
      <c r="AG8" s="13"/>
      <c r="AH8" s="280"/>
      <c r="AI8" s="8"/>
      <c r="AJ8" s="8"/>
      <c r="AK8" s="8"/>
      <c r="AL8" s="9"/>
    </row>
    <row r="9" spans="1:38" ht="19.5" customHeight="1">
      <c r="A9" s="185"/>
      <c r="B9" s="13"/>
      <c r="C9" s="13"/>
      <c r="D9" s="13"/>
      <c r="E9" s="13"/>
      <c r="F9" s="13"/>
      <c r="G9" s="13"/>
      <c r="H9" s="13"/>
      <c r="I9" s="13"/>
      <c r="J9" s="13"/>
      <c r="K9" s="13"/>
      <c r="L9" s="13"/>
      <c r="M9" s="13"/>
      <c r="N9" s="13"/>
      <c r="O9" s="13"/>
      <c r="P9" s="13"/>
      <c r="Q9" s="13"/>
      <c r="R9" s="13"/>
      <c r="S9" s="13"/>
      <c r="T9" s="13"/>
      <c r="U9" s="13"/>
      <c r="V9" s="286"/>
      <c r="W9" s="286"/>
      <c r="X9" s="286"/>
      <c r="Y9" s="286"/>
      <c r="Z9" s="286"/>
      <c r="AA9" s="286"/>
      <c r="AB9" s="13"/>
      <c r="AC9" s="13"/>
      <c r="AD9" s="13"/>
      <c r="AE9" s="13"/>
      <c r="AF9" s="13"/>
      <c r="AG9" s="13"/>
      <c r="AH9" s="280"/>
      <c r="AI9" s="8"/>
      <c r="AJ9" s="8"/>
      <c r="AK9" s="8"/>
      <c r="AL9" s="9"/>
    </row>
    <row r="10" spans="1:38" ht="19.5" customHeight="1">
      <c r="A10" s="186"/>
      <c r="B10" s="187"/>
      <c r="C10" s="187"/>
      <c r="D10" s="13"/>
      <c r="E10" s="13"/>
      <c r="F10" s="13"/>
      <c r="G10" s="13"/>
      <c r="H10" s="13"/>
      <c r="I10" s="13"/>
      <c r="J10" s="13"/>
      <c r="K10" s="13"/>
      <c r="L10" s="13"/>
      <c r="M10" s="13"/>
      <c r="N10" s="13"/>
      <c r="O10" s="13"/>
      <c r="P10" s="13"/>
      <c r="Q10" s="13"/>
      <c r="R10" s="13"/>
      <c r="S10" s="13"/>
      <c r="T10" s="13"/>
      <c r="U10" s="13"/>
      <c r="V10" s="286"/>
      <c r="W10" s="286"/>
      <c r="X10" s="286"/>
      <c r="Y10" s="286"/>
      <c r="Z10" s="286"/>
      <c r="AA10" s="286"/>
      <c r="AB10" s="13"/>
      <c r="AC10" s="13"/>
      <c r="AD10" s="13"/>
      <c r="AE10" s="13"/>
      <c r="AF10" s="13"/>
      <c r="AG10" s="13"/>
      <c r="AH10" s="280"/>
      <c r="AI10" s="8"/>
      <c r="AJ10" s="8"/>
      <c r="AK10" s="8"/>
      <c r="AL10" s="9"/>
    </row>
    <row r="11" spans="1:38" ht="20.5">
      <c r="A11" s="188" t="s">
        <v>323</v>
      </c>
      <c r="B11" s="584" t="s">
        <v>324</v>
      </c>
      <c r="C11" s="443"/>
      <c r="D11" s="189"/>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323"/>
      <c r="AI11" s="8"/>
      <c r="AJ11" s="8"/>
      <c r="AK11" s="8"/>
      <c r="AL11" s="9"/>
    </row>
    <row r="12" spans="1:38" ht="19.5">
      <c r="A12" s="442" t="s">
        <v>325</v>
      </c>
      <c r="B12" s="586" t="s">
        <v>326</v>
      </c>
      <c r="C12" s="587"/>
      <c r="D12" s="442" t="s">
        <v>327</v>
      </c>
      <c r="E12" s="604"/>
      <c r="F12" s="604"/>
      <c r="G12" s="604"/>
      <c r="H12" s="604"/>
      <c r="I12" s="604"/>
      <c r="J12" s="604"/>
      <c r="K12" s="604"/>
      <c r="L12" s="604"/>
      <c r="M12" s="604"/>
      <c r="N12" s="604"/>
      <c r="O12" s="604"/>
      <c r="P12" s="604"/>
      <c r="Q12" s="604"/>
      <c r="R12" s="604"/>
      <c r="S12" s="604"/>
      <c r="T12" s="604"/>
      <c r="U12" s="604"/>
      <c r="V12" s="604"/>
      <c r="W12" s="604"/>
      <c r="X12" s="604"/>
      <c r="Y12" s="604"/>
      <c r="Z12" s="604"/>
      <c r="AA12" s="604"/>
      <c r="AB12" s="605"/>
      <c r="AC12" s="605"/>
      <c r="AD12" s="605"/>
      <c r="AE12" s="605"/>
      <c r="AF12" s="605"/>
      <c r="AG12" s="606"/>
      <c r="AH12" s="585" t="s">
        <v>328</v>
      </c>
      <c r="AI12" s="270"/>
      <c r="AJ12" s="8"/>
      <c r="AK12" s="8"/>
      <c r="AL12" s="9"/>
    </row>
    <row r="13" spans="1:38" ht="36.75" customHeight="1">
      <c r="A13" s="604"/>
      <c r="B13" s="588"/>
      <c r="C13" s="589"/>
      <c r="D13" s="573" t="s">
        <v>329</v>
      </c>
      <c r="E13" s="572"/>
      <c r="F13" s="572"/>
      <c r="G13" s="572"/>
      <c r="H13" s="572"/>
      <c r="I13" s="572"/>
      <c r="J13" s="573" t="s">
        <v>330</v>
      </c>
      <c r="K13" s="572"/>
      <c r="L13" s="572"/>
      <c r="M13" s="572"/>
      <c r="N13" s="572"/>
      <c r="O13" s="572"/>
      <c r="P13" s="573" t="s">
        <v>1031</v>
      </c>
      <c r="Q13" s="572"/>
      <c r="R13" s="572"/>
      <c r="S13" s="572"/>
      <c r="T13" s="572"/>
      <c r="U13" s="572"/>
      <c r="V13" s="573" t="s">
        <v>331</v>
      </c>
      <c r="W13" s="572"/>
      <c r="X13" s="572"/>
      <c r="Y13" s="572"/>
      <c r="Z13" s="572"/>
      <c r="AA13" s="574"/>
      <c r="AB13" s="573" t="s">
        <v>332</v>
      </c>
      <c r="AC13" s="572"/>
      <c r="AD13" s="572"/>
      <c r="AE13" s="572"/>
      <c r="AF13" s="572"/>
      <c r="AG13" s="574"/>
      <c r="AH13" s="585"/>
      <c r="AI13" s="270"/>
      <c r="AJ13" s="8"/>
      <c r="AK13" s="8"/>
      <c r="AL13" s="9"/>
    </row>
    <row r="14" spans="1:38" ht="48.75" customHeight="1">
      <c r="A14" s="604"/>
      <c r="B14" s="590"/>
      <c r="C14" s="591"/>
      <c r="D14" s="571">
        <v>1</v>
      </c>
      <c r="E14" s="572"/>
      <c r="F14" s="571">
        <v>2</v>
      </c>
      <c r="G14" s="572"/>
      <c r="H14" s="571">
        <v>3</v>
      </c>
      <c r="I14" s="572"/>
      <c r="J14" s="571">
        <v>4</v>
      </c>
      <c r="K14" s="572"/>
      <c r="L14" s="571">
        <v>5</v>
      </c>
      <c r="M14" s="572"/>
      <c r="N14" s="571">
        <v>6</v>
      </c>
      <c r="O14" s="572"/>
      <c r="P14" s="571">
        <v>4</v>
      </c>
      <c r="Q14" s="572"/>
      <c r="R14" s="571">
        <v>5</v>
      </c>
      <c r="S14" s="572"/>
      <c r="T14" s="571">
        <v>6</v>
      </c>
      <c r="U14" s="572"/>
      <c r="V14" s="571">
        <v>7</v>
      </c>
      <c r="W14" s="572"/>
      <c r="X14" s="571">
        <v>8</v>
      </c>
      <c r="Y14" s="572"/>
      <c r="Z14" s="571">
        <v>9</v>
      </c>
      <c r="AA14" s="574"/>
      <c r="AB14" s="571">
        <v>10</v>
      </c>
      <c r="AC14" s="572"/>
      <c r="AD14" s="571">
        <v>11</v>
      </c>
      <c r="AE14" s="572"/>
      <c r="AF14" s="571">
        <v>12</v>
      </c>
      <c r="AG14" s="574"/>
      <c r="AH14" s="281"/>
      <c r="AI14" s="270"/>
      <c r="AJ14" s="8"/>
      <c r="AK14" s="8"/>
      <c r="AL14" s="9"/>
    </row>
    <row r="15" spans="1:38" ht="19.5">
      <c r="A15" s="604"/>
      <c r="B15" s="3" t="s">
        <v>333</v>
      </c>
      <c r="C15" s="3" t="s">
        <v>334</v>
      </c>
      <c r="D15" s="191" t="s">
        <v>335</v>
      </c>
      <c r="E15" s="191" t="s">
        <v>336</v>
      </c>
      <c r="F15" s="191" t="s">
        <v>335</v>
      </c>
      <c r="G15" s="191" t="s">
        <v>336</v>
      </c>
      <c r="H15" s="191" t="s">
        <v>335</v>
      </c>
      <c r="I15" s="191" t="s">
        <v>336</v>
      </c>
      <c r="J15" s="191" t="s">
        <v>335</v>
      </c>
      <c r="K15" s="191" t="s">
        <v>336</v>
      </c>
      <c r="L15" s="191" t="s">
        <v>335</v>
      </c>
      <c r="M15" s="191" t="s">
        <v>336</v>
      </c>
      <c r="N15" s="191" t="s">
        <v>335</v>
      </c>
      <c r="O15" s="191" t="s">
        <v>336</v>
      </c>
      <c r="P15" s="299" t="s">
        <v>335</v>
      </c>
      <c r="Q15" s="299" t="s">
        <v>336</v>
      </c>
      <c r="R15" s="299" t="s">
        <v>335</v>
      </c>
      <c r="S15" s="299" t="s">
        <v>336</v>
      </c>
      <c r="T15" s="299" t="s">
        <v>335</v>
      </c>
      <c r="U15" s="299" t="s">
        <v>336</v>
      </c>
      <c r="V15" s="299" t="s">
        <v>335</v>
      </c>
      <c r="W15" s="299" t="s">
        <v>336</v>
      </c>
      <c r="X15" s="299" t="s">
        <v>335</v>
      </c>
      <c r="Y15" s="299" t="s">
        <v>336</v>
      </c>
      <c r="Z15" s="299" t="s">
        <v>335</v>
      </c>
      <c r="AA15" s="313" t="s">
        <v>336</v>
      </c>
      <c r="AB15" s="299" t="s">
        <v>335</v>
      </c>
      <c r="AC15" s="299" t="s">
        <v>336</v>
      </c>
      <c r="AD15" s="299" t="s">
        <v>335</v>
      </c>
      <c r="AE15" s="299" t="s">
        <v>336</v>
      </c>
      <c r="AF15" s="299" t="s">
        <v>335</v>
      </c>
      <c r="AG15" s="313" t="s">
        <v>336</v>
      </c>
      <c r="AH15" s="281"/>
      <c r="AI15" s="270"/>
      <c r="AJ15" s="8"/>
      <c r="AK15" s="8"/>
      <c r="AL15" s="9"/>
    </row>
    <row r="16" spans="1:38" ht="34" customHeight="1">
      <c r="A16" s="592" t="s">
        <v>337</v>
      </c>
      <c r="B16" s="193" t="s">
        <v>338</v>
      </c>
      <c r="C16" s="96" t="s">
        <v>339</v>
      </c>
      <c r="D16" s="192"/>
      <c r="E16" s="192"/>
      <c r="F16" s="194"/>
      <c r="G16" s="192"/>
      <c r="H16" s="192"/>
      <c r="I16" s="192"/>
      <c r="J16" s="192"/>
      <c r="K16" s="192"/>
      <c r="L16" s="192"/>
      <c r="M16" s="192"/>
      <c r="N16" s="192"/>
      <c r="O16" s="287"/>
      <c r="P16" s="305"/>
      <c r="Q16" s="300"/>
      <c r="R16" s="300">
        <v>1</v>
      </c>
      <c r="S16" s="300"/>
      <c r="T16" s="300"/>
      <c r="U16" s="300"/>
      <c r="V16" s="305"/>
      <c r="W16" s="300"/>
      <c r="X16" s="300">
        <v>1</v>
      </c>
      <c r="Y16" s="300"/>
      <c r="Z16" s="300"/>
      <c r="AA16" s="314"/>
      <c r="AB16" s="301"/>
      <c r="AC16" s="301"/>
      <c r="AD16" s="300">
        <v>1</v>
      </c>
      <c r="AE16" s="301"/>
      <c r="AF16" s="301"/>
      <c r="AG16" s="315"/>
      <c r="AH16" s="283" t="s">
        <v>969</v>
      </c>
      <c r="AI16" s="274"/>
      <c r="AJ16" s="8"/>
      <c r="AK16" s="8"/>
      <c r="AL16" s="9"/>
    </row>
    <row r="17" spans="1:44" ht="90.65" customHeight="1">
      <c r="A17" s="593"/>
      <c r="B17" s="193" t="s">
        <v>1032</v>
      </c>
      <c r="C17" s="96" t="s">
        <v>340</v>
      </c>
      <c r="D17" s="192"/>
      <c r="E17" s="192"/>
      <c r="F17" s="192"/>
      <c r="G17" s="192"/>
      <c r="H17" s="192"/>
      <c r="I17" s="192"/>
      <c r="J17" s="192"/>
      <c r="K17" s="192"/>
      <c r="L17" s="192"/>
      <c r="M17" s="192"/>
      <c r="N17" s="192"/>
      <c r="O17" s="287"/>
      <c r="P17" s="305">
        <v>1</v>
      </c>
      <c r="Q17" s="305"/>
      <c r="R17" s="306">
        <v>1</v>
      </c>
      <c r="S17" s="305"/>
      <c r="T17" s="306">
        <v>1</v>
      </c>
      <c r="U17" s="305"/>
      <c r="V17" s="306">
        <v>1</v>
      </c>
      <c r="W17" s="305"/>
      <c r="X17" s="306">
        <v>1</v>
      </c>
      <c r="Y17" s="305"/>
      <c r="Z17" s="306">
        <v>1</v>
      </c>
      <c r="AA17" s="324"/>
      <c r="AB17" s="306">
        <v>1</v>
      </c>
      <c r="AC17" s="305"/>
      <c r="AD17" s="306">
        <v>1</v>
      </c>
      <c r="AE17" s="306"/>
      <c r="AF17" s="306">
        <v>1</v>
      </c>
      <c r="AG17" s="301"/>
      <c r="AH17" s="292"/>
      <c r="AI17" s="195"/>
      <c r="AJ17" s="196"/>
      <c r="AK17" s="8"/>
      <c r="AL17" s="9"/>
    </row>
    <row r="18" spans="1:44" s="262" customFormat="1" ht="48.65" customHeight="1">
      <c r="A18" s="593"/>
      <c r="B18" s="257" t="s">
        <v>341</v>
      </c>
      <c r="C18" s="258" t="s">
        <v>340</v>
      </c>
      <c r="D18" s="325"/>
      <c r="E18" s="325"/>
      <c r="F18" s="325"/>
      <c r="G18" s="325"/>
      <c r="H18" s="325"/>
      <c r="I18" s="325"/>
      <c r="J18" s="326"/>
      <c r="K18" s="325"/>
      <c r="L18" s="326"/>
      <c r="M18" s="325"/>
      <c r="N18" s="326"/>
      <c r="O18" s="327"/>
      <c r="P18" s="305">
        <v>1</v>
      </c>
      <c r="Q18" s="305"/>
      <c r="R18" s="306">
        <v>1</v>
      </c>
      <c r="S18" s="305"/>
      <c r="T18" s="306">
        <v>1</v>
      </c>
      <c r="U18" s="305"/>
      <c r="V18" s="306">
        <v>1</v>
      </c>
      <c r="W18" s="305"/>
      <c r="X18" s="306">
        <v>1</v>
      </c>
      <c r="Y18" s="305"/>
      <c r="Z18" s="306">
        <v>1</v>
      </c>
      <c r="AA18" s="324"/>
      <c r="AB18" s="306">
        <v>1</v>
      </c>
      <c r="AC18" s="305"/>
      <c r="AD18" s="306">
        <v>1</v>
      </c>
      <c r="AE18" s="306"/>
      <c r="AF18" s="306">
        <v>1</v>
      </c>
      <c r="AG18" s="301"/>
      <c r="AH18" s="328" t="s">
        <v>971</v>
      </c>
      <c r="AI18" s="329"/>
      <c r="AJ18" s="259"/>
      <c r="AK18" s="260"/>
      <c r="AL18" s="261"/>
    </row>
    <row r="19" spans="1:44" s="262" customFormat="1" ht="39" customHeight="1">
      <c r="A19" s="593"/>
      <c r="B19" s="257" t="s">
        <v>342</v>
      </c>
      <c r="C19" s="258" t="s">
        <v>343</v>
      </c>
      <c r="D19" s="325"/>
      <c r="E19" s="325"/>
      <c r="F19" s="325"/>
      <c r="G19" s="325"/>
      <c r="H19" s="325"/>
      <c r="I19" s="325"/>
      <c r="J19" s="326"/>
      <c r="K19" s="325"/>
      <c r="L19" s="326"/>
      <c r="M19" s="325"/>
      <c r="N19" s="326"/>
      <c r="O19" s="327"/>
      <c r="P19" s="306"/>
      <c r="Q19" s="309"/>
      <c r="R19" s="300">
        <v>1</v>
      </c>
      <c r="S19" s="300"/>
      <c r="T19" s="300"/>
      <c r="U19" s="300"/>
      <c r="V19" s="305"/>
      <c r="W19" s="300"/>
      <c r="X19" s="300">
        <v>1</v>
      </c>
      <c r="Y19" s="300"/>
      <c r="Z19" s="300"/>
      <c r="AA19" s="314"/>
      <c r="AB19" s="301"/>
      <c r="AC19" s="301"/>
      <c r="AD19" s="300">
        <v>1</v>
      </c>
      <c r="AE19" s="301"/>
      <c r="AF19" s="301"/>
      <c r="AG19" s="322"/>
      <c r="AH19" s="330" t="s">
        <v>970</v>
      </c>
      <c r="AI19" s="331"/>
      <c r="AJ19" s="259"/>
      <c r="AK19" s="260"/>
      <c r="AL19" s="261"/>
    </row>
    <row r="20" spans="1:44" s="262" customFormat="1" ht="65.150000000000006" customHeight="1">
      <c r="A20" s="593"/>
      <c r="B20" s="257" t="s">
        <v>344</v>
      </c>
      <c r="C20" s="258" t="s">
        <v>339</v>
      </c>
      <c r="D20" s="325"/>
      <c r="E20" s="325"/>
      <c r="F20" s="325"/>
      <c r="G20" s="325"/>
      <c r="H20" s="325"/>
      <c r="I20" s="325"/>
      <c r="J20" s="326"/>
      <c r="K20" s="325"/>
      <c r="L20" s="326"/>
      <c r="M20" s="325"/>
      <c r="N20" s="326"/>
      <c r="O20" s="327"/>
      <c r="P20" s="305">
        <v>1</v>
      </c>
      <c r="Q20" s="309"/>
      <c r="R20" s="305">
        <v>1</v>
      </c>
      <c r="S20" s="309"/>
      <c r="T20" s="305">
        <v>1</v>
      </c>
      <c r="U20" s="309"/>
      <c r="V20" s="305">
        <v>1</v>
      </c>
      <c r="W20" s="309"/>
      <c r="X20" s="305">
        <v>1</v>
      </c>
      <c r="Y20" s="305"/>
      <c r="Z20" s="305">
        <v>1</v>
      </c>
      <c r="AA20" s="305"/>
      <c r="AB20" s="305">
        <v>1</v>
      </c>
      <c r="AC20" s="305"/>
      <c r="AD20" s="305">
        <v>1</v>
      </c>
      <c r="AE20" s="305"/>
      <c r="AF20" s="305">
        <v>1</v>
      </c>
      <c r="AG20" s="305"/>
      <c r="AH20" s="297" t="s">
        <v>1016</v>
      </c>
      <c r="AI20" s="329"/>
      <c r="AJ20" s="259"/>
      <c r="AK20" s="260"/>
      <c r="AL20" s="261"/>
    </row>
    <row r="21" spans="1:44" ht="47.15" customHeight="1">
      <c r="A21" s="593"/>
      <c r="B21" s="193" t="s">
        <v>345</v>
      </c>
      <c r="C21" s="96" t="s">
        <v>346</v>
      </c>
      <c r="D21" s="197"/>
      <c r="E21" s="197"/>
      <c r="F21" s="197"/>
      <c r="G21" s="197"/>
      <c r="H21" s="197"/>
      <c r="I21" s="197"/>
      <c r="J21" s="192"/>
      <c r="K21" s="197"/>
      <c r="L21" s="192"/>
      <c r="M21" s="197"/>
      <c r="N21" s="192"/>
      <c r="O21" s="273"/>
      <c r="P21" s="305">
        <v>1</v>
      </c>
      <c r="Q21" s="309"/>
      <c r="R21" s="305">
        <v>1</v>
      </c>
      <c r="S21" s="309"/>
      <c r="T21" s="305">
        <v>1</v>
      </c>
      <c r="U21" s="309"/>
      <c r="V21" s="305">
        <v>1</v>
      </c>
      <c r="W21" s="309"/>
      <c r="X21" s="305">
        <v>1</v>
      </c>
      <c r="Y21" s="305"/>
      <c r="Z21" s="305">
        <v>1</v>
      </c>
      <c r="AA21" s="305"/>
      <c r="AB21" s="305">
        <v>1</v>
      </c>
      <c r="AC21" s="305"/>
      <c r="AD21" s="305">
        <v>1</v>
      </c>
      <c r="AE21" s="305"/>
      <c r="AF21" s="305">
        <v>1</v>
      </c>
      <c r="AG21" s="301"/>
      <c r="AH21" s="292"/>
      <c r="AI21" s="182"/>
      <c r="AJ21" s="196"/>
      <c r="AK21" s="8"/>
      <c r="AL21" s="198"/>
    </row>
    <row r="22" spans="1:44" ht="40.5" customHeight="1">
      <c r="A22" s="593"/>
      <c r="B22" s="193" t="s">
        <v>347</v>
      </c>
      <c r="C22" s="96" t="s">
        <v>346</v>
      </c>
      <c r="D22" s="197"/>
      <c r="E22" s="197"/>
      <c r="F22" s="197"/>
      <c r="G22" s="197"/>
      <c r="H22" s="197"/>
      <c r="I22" s="197"/>
      <c r="J22" s="192"/>
      <c r="K22" s="197"/>
      <c r="L22" s="192"/>
      <c r="M22" s="197"/>
      <c r="N22" s="192"/>
      <c r="O22" s="273"/>
      <c r="P22" s="305">
        <v>1</v>
      </c>
      <c r="Q22" s="309"/>
      <c r="R22" s="305">
        <v>1</v>
      </c>
      <c r="S22" s="309"/>
      <c r="T22" s="305">
        <v>1</v>
      </c>
      <c r="U22" s="309"/>
      <c r="V22" s="305">
        <v>1</v>
      </c>
      <c r="W22" s="309"/>
      <c r="X22" s="305">
        <v>1</v>
      </c>
      <c r="Y22" s="305"/>
      <c r="Z22" s="305">
        <v>1</v>
      </c>
      <c r="AA22" s="305"/>
      <c r="AB22" s="305">
        <v>1</v>
      </c>
      <c r="AC22" s="305"/>
      <c r="AD22" s="305">
        <v>1</v>
      </c>
      <c r="AE22" s="305"/>
      <c r="AF22" s="305">
        <v>1</v>
      </c>
      <c r="AG22" s="301"/>
      <c r="AH22" s="293"/>
      <c r="AI22" s="270"/>
      <c r="AJ22" s="196"/>
      <c r="AK22" s="8"/>
      <c r="AL22" s="198"/>
    </row>
    <row r="23" spans="1:44" ht="39" customHeight="1">
      <c r="A23" s="593"/>
      <c r="B23" s="193" t="s">
        <v>348</v>
      </c>
      <c r="C23" s="96" t="s">
        <v>339</v>
      </c>
      <c r="D23" s="197"/>
      <c r="E23" s="197"/>
      <c r="F23" s="197"/>
      <c r="G23" s="197"/>
      <c r="H23" s="197"/>
      <c r="I23" s="197"/>
      <c r="J23" s="192"/>
      <c r="K23" s="197"/>
      <c r="L23" s="192"/>
      <c r="M23" s="197"/>
      <c r="N23" s="192"/>
      <c r="O23" s="273"/>
      <c r="P23" s="305">
        <v>1</v>
      </c>
      <c r="Q23" s="309"/>
      <c r="R23" s="305">
        <v>1</v>
      </c>
      <c r="S23" s="309"/>
      <c r="T23" s="305">
        <v>1</v>
      </c>
      <c r="U23" s="309"/>
      <c r="V23" s="305">
        <v>1</v>
      </c>
      <c r="W23" s="309"/>
      <c r="X23" s="305">
        <v>1</v>
      </c>
      <c r="Y23" s="305"/>
      <c r="Z23" s="305">
        <v>1</v>
      </c>
      <c r="AA23" s="305"/>
      <c r="AB23" s="305">
        <v>1</v>
      </c>
      <c r="AC23" s="305"/>
      <c r="AD23" s="305">
        <v>1</v>
      </c>
      <c r="AE23" s="305"/>
      <c r="AF23" s="305">
        <v>1</v>
      </c>
      <c r="AG23" s="301"/>
      <c r="AH23" s="290" t="s">
        <v>972</v>
      </c>
      <c r="AI23" s="268"/>
      <c r="AJ23" s="268"/>
      <c r="AK23" s="268"/>
      <c r="AL23" s="268"/>
      <c r="AM23" s="268"/>
      <c r="AN23" s="268"/>
      <c r="AO23" s="268"/>
      <c r="AP23" s="268"/>
      <c r="AQ23" s="268"/>
      <c r="AR23" s="268"/>
    </row>
    <row r="24" spans="1:44" ht="39" customHeight="1">
      <c r="A24" s="593"/>
      <c r="B24" s="193" t="s">
        <v>349</v>
      </c>
      <c r="C24" s="96" t="s">
        <v>339</v>
      </c>
      <c r="D24" s="197"/>
      <c r="E24" s="197"/>
      <c r="F24" s="197"/>
      <c r="G24" s="197"/>
      <c r="H24" s="197"/>
      <c r="I24" s="197"/>
      <c r="J24" s="192"/>
      <c r="K24" s="197"/>
      <c r="L24" s="192"/>
      <c r="M24" s="197"/>
      <c r="N24" s="192"/>
      <c r="O24" s="273"/>
      <c r="P24" s="304">
        <v>1</v>
      </c>
      <c r="Q24" s="302"/>
      <c r="R24" s="300">
        <v>1</v>
      </c>
      <c r="S24" s="302"/>
      <c r="T24" s="300"/>
      <c r="U24" s="302"/>
      <c r="V24" s="304">
        <v>1</v>
      </c>
      <c r="W24" s="302"/>
      <c r="X24" s="300"/>
      <c r="Y24" s="302"/>
      <c r="Z24" s="300"/>
      <c r="AA24" s="316"/>
      <c r="AB24" s="304">
        <v>1</v>
      </c>
      <c r="AC24" s="301"/>
      <c r="AD24" s="301"/>
      <c r="AE24" s="301"/>
      <c r="AF24" s="301"/>
      <c r="AG24" s="301"/>
      <c r="AH24" s="294" t="s">
        <v>1015</v>
      </c>
      <c r="AI24" s="595"/>
      <c r="AJ24" s="596"/>
      <c r="AK24" s="596"/>
      <c r="AL24" s="596"/>
      <c r="AM24" s="596"/>
    </row>
    <row r="25" spans="1:44" ht="39" customHeight="1">
      <c r="A25" s="593"/>
      <c r="B25" s="193" t="s">
        <v>350</v>
      </c>
      <c r="C25" s="96" t="s">
        <v>351</v>
      </c>
      <c r="D25" s="197"/>
      <c r="E25" s="197"/>
      <c r="F25" s="197"/>
      <c r="G25" s="197"/>
      <c r="H25" s="197"/>
      <c r="I25" s="197"/>
      <c r="J25" s="192"/>
      <c r="K25" s="197"/>
      <c r="L25" s="192"/>
      <c r="M25" s="197"/>
      <c r="N25" s="192"/>
      <c r="O25" s="273"/>
      <c r="P25" s="305">
        <v>1</v>
      </c>
      <c r="Q25" s="309"/>
      <c r="R25" s="305">
        <v>1</v>
      </c>
      <c r="S25" s="309"/>
      <c r="T25" s="305">
        <v>1</v>
      </c>
      <c r="U25" s="309"/>
      <c r="V25" s="305">
        <v>1</v>
      </c>
      <c r="W25" s="309"/>
      <c r="X25" s="305">
        <v>1</v>
      </c>
      <c r="Y25" s="305"/>
      <c r="Z25" s="305">
        <v>1</v>
      </c>
      <c r="AA25" s="305"/>
      <c r="AB25" s="305">
        <v>1</v>
      </c>
      <c r="AC25" s="305"/>
      <c r="AD25" s="305">
        <v>1</v>
      </c>
      <c r="AE25" s="305"/>
      <c r="AF25" s="305">
        <v>1</v>
      </c>
      <c r="AG25" s="301"/>
      <c r="AH25" s="293"/>
      <c r="AI25" s="274"/>
      <c r="AJ25" s="196"/>
      <c r="AK25" s="8"/>
      <c r="AL25" s="198"/>
    </row>
    <row r="26" spans="1:44" ht="39" customHeight="1">
      <c r="A26" s="593"/>
      <c r="B26" s="193" t="s">
        <v>350</v>
      </c>
      <c r="C26" s="96" t="s">
        <v>374</v>
      </c>
      <c r="D26" s="197"/>
      <c r="E26" s="197"/>
      <c r="F26" s="197"/>
      <c r="G26" s="197"/>
      <c r="H26" s="197"/>
      <c r="I26" s="197"/>
      <c r="J26" s="192"/>
      <c r="K26" s="197"/>
      <c r="L26" s="192"/>
      <c r="M26" s="197"/>
      <c r="N26" s="192"/>
      <c r="O26" s="273"/>
      <c r="P26" s="305">
        <v>1</v>
      </c>
      <c r="Q26" s="309"/>
      <c r="R26" s="305">
        <v>1</v>
      </c>
      <c r="S26" s="309"/>
      <c r="T26" s="305">
        <v>1</v>
      </c>
      <c r="U26" s="309"/>
      <c r="V26" s="305">
        <v>1</v>
      </c>
      <c r="W26" s="309"/>
      <c r="X26" s="305">
        <v>1</v>
      </c>
      <c r="Y26" s="305"/>
      <c r="Z26" s="305">
        <v>1</v>
      </c>
      <c r="AA26" s="305"/>
      <c r="AB26" s="305">
        <v>1</v>
      </c>
      <c r="AC26" s="305"/>
      <c r="AD26" s="305">
        <v>1</v>
      </c>
      <c r="AE26" s="305"/>
      <c r="AF26" s="305">
        <v>1</v>
      </c>
      <c r="AG26" s="301"/>
      <c r="AH26" s="293"/>
      <c r="AI26" s="274"/>
      <c r="AJ26" s="269"/>
      <c r="AK26" s="270"/>
      <c r="AL26" s="198"/>
    </row>
    <row r="27" spans="1:44" ht="39" customHeight="1">
      <c r="A27" s="593"/>
      <c r="B27" s="193" t="s">
        <v>350</v>
      </c>
      <c r="C27" s="96" t="s">
        <v>973</v>
      </c>
      <c r="D27" s="197"/>
      <c r="E27" s="197"/>
      <c r="F27" s="197"/>
      <c r="G27" s="197"/>
      <c r="H27" s="197"/>
      <c r="I27" s="197"/>
      <c r="J27" s="192"/>
      <c r="K27" s="197"/>
      <c r="L27" s="192"/>
      <c r="M27" s="197"/>
      <c r="N27" s="192"/>
      <c r="O27" s="273"/>
      <c r="P27" s="305">
        <v>1</v>
      </c>
      <c r="Q27" s="309"/>
      <c r="R27" s="305">
        <v>1</v>
      </c>
      <c r="S27" s="309"/>
      <c r="T27" s="305">
        <v>1</v>
      </c>
      <c r="U27" s="309"/>
      <c r="V27" s="305">
        <v>1</v>
      </c>
      <c r="W27" s="309"/>
      <c r="X27" s="305">
        <v>1</v>
      </c>
      <c r="Y27" s="305"/>
      <c r="Z27" s="305">
        <v>1</v>
      </c>
      <c r="AA27" s="305"/>
      <c r="AB27" s="305">
        <v>1</v>
      </c>
      <c r="AC27" s="305"/>
      <c r="AD27" s="305">
        <v>1</v>
      </c>
      <c r="AE27" s="305"/>
      <c r="AF27" s="305">
        <v>1</v>
      </c>
      <c r="AG27" s="301"/>
      <c r="AH27" s="295" t="s">
        <v>974</v>
      </c>
      <c r="AI27" s="274"/>
      <c r="AJ27" s="269"/>
      <c r="AK27" s="270"/>
      <c r="AL27" s="198"/>
    </row>
    <row r="28" spans="1:44" s="262" customFormat="1" ht="36.65" customHeight="1">
      <c r="A28" s="593"/>
      <c r="B28" s="257" t="s">
        <v>352</v>
      </c>
      <c r="C28" s="258" t="s">
        <v>351</v>
      </c>
      <c r="D28" s="325"/>
      <c r="E28" s="325"/>
      <c r="F28" s="325"/>
      <c r="G28" s="325"/>
      <c r="H28" s="325"/>
      <c r="I28" s="325"/>
      <c r="J28" s="326"/>
      <c r="K28" s="325"/>
      <c r="L28" s="326"/>
      <c r="M28" s="325"/>
      <c r="N28" s="326"/>
      <c r="O28" s="327"/>
      <c r="P28" s="306">
        <v>1</v>
      </c>
      <c r="Q28" s="309"/>
      <c r="R28" s="306"/>
      <c r="S28" s="309"/>
      <c r="T28" s="306"/>
      <c r="U28" s="309"/>
      <c r="V28" s="306"/>
      <c r="W28" s="309"/>
      <c r="X28" s="306"/>
      <c r="Y28" s="309"/>
      <c r="Z28" s="306"/>
      <c r="AA28" s="319"/>
      <c r="AB28" s="322"/>
      <c r="AC28" s="322"/>
      <c r="AD28" s="322"/>
      <c r="AE28" s="322"/>
      <c r="AF28" s="322"/>
      <c r="AG28" s="322"/>
      <c r="AH28" s="332"/>
      <c r="AI28" s="597"/>
      <c r="AJ28" s="598"/>
      <c r="AK28" s="598"/>
      <c r="AL28" s="599"/>
    </row>
    <row r="29" spans="1:44" s="262" customFormat="1" ht="39" customHeight="1">
      <c r="A29" s="593"/>
      <c r="B29" s="257" t="s">
        <v>353</v>
      </c>
      <c r="C29" s="258" t="s">
        <v>339</v>
      </c>
      <c r="D29" s="325"/>
      <c r="E29" s="325"/>
      <c r="F29" s="325"/>
      <c r="G29" s="325"/>
      <c r="H29" s="325"/>
      <c r="I29" s="325"/>
      <c r="J29" s="326"/>
      <c r="K29" s="325"/>
      <c r="L29" s="326"/>
      <c r="M29" s="325"/>
      <c r="N29" s="326"/>
      <c r="O29" s="327"/>
      <c r="P29" s="305">
        <v>1</v>
      </c>
      <c r="Q29" s="309"/>
      <c r="R29" s="306"/>
      <c r="S29" s="309"/>
      <c r="T29" s="306"/>
      <c r="U29" s="309"/>
      <c r="V29" s="305">
        <v>1</v>
      </c>
      <c r="W29" s="309"/>
      <c r="X29" s="306"/>
      <c r="Y29" s="309"/>
      <c r="Z29" s="306"/>
      <c r="AA29" s="319"/>
      <c r="AB29" s="305">
        <v>1</v>
      </c>
      <c r="AC29" s="322"/>
      <c r="AD29" s="322"/>
      <c r="AE29" s="322"/>
      <c r="AF29" s="322"/>
      <c r="AG29" s="322"/>
      <c r="AH29" s="333"/>
    </row>
    <row r="30" spans="1:44" ht="20.25" customHeight="1">
      <c r="A30" s="593"/>
      <c r="B30" s="193" t="s">
        <v>354</v>
      </c>
      <c r="C30" s="96" t="s">
        <v>339</v>
      </c>
      <c r="D30" s="197"/>
      <c r="E30" s="197"/>
      <c r="F30" s="197"/>
      <c r="G30" s="197"/>
      <c r="H30" s="197"/>
      <c r="I30" s="197"/>
      <c r="J30" s="192"/>
      <c r="K30" s="197"/>
      <c r="L30" s="192"/>
      <c r="M30" s="197"/>
      <c r="N30" s="192"/>
      <c r="O30" s="273"/>
      <c r="P30" s="305">
        <v>1</v>
      </c>
      <c r="Q30" s="309"/>
      <c r="R30" s="306"/>
      <c r="S30" s="309"/>
      <c r="T30" s="306"/>
      <c r="U30" s="309"/>
      <c r="V30" s="305">
        <v>1</v>
      </c>
      <c r="W30" s="309"/>
      <c r="X30" s="306"/>
      <c r="Y30" s="309"/>
      <c r="Z30" s="306"/>
      <c r="AA30" s="319"/>
      <c r="AB30" s="305">
        <v>1</v>
      </c>
      <c r="AC30" s="301"/>
      <c r="AD30" s="301"/>
      <c r="AE30" s="301"/>
      <c r="AF30" s="301"/>
      <c r="AG30" s="301"/>
      <c r="AH30" s="293"/>
    </row>
    <row r="31" spans="1:44" s="262" customFormat="1" ht="39" customHeight="1">
      <c r="A31" s="593"/>
      <c r="B31" s="257" t="s">
        <v>355</v>
      </c>
      <c r="C31" s="258" t="s">
        <v>339</v>
      </c>
      <c r="D31" s="325"/>
      <c r="E31" s="325"/>
      <c r="F31" s="325"/>
      <c r="G31" s="325"/>
      <c r="H31" s="325"/>
      <c r="I31" s="325"/>
      <c r="J31" s="326"/>
      <c r="K31" s="325"/>
      <c r="L31" s="326"/>
      <c r="M31" s="325"/>
      <c r="N31" s="326"/>
      <c r="O31" s="327"/>
      <c r="P31" s="305">
        <v>1</v>
      </c>
      <c r="Q31" s="309"/>
      <c r="R31" s="305">
        <v>1</v>
      </c>
      <c r="S31" s="309"/>
      <c r="T31" s="305">
        <v>1</v>
      </c>
      <c r="U31" s="309"/>
      <c r="V31" s="305">
        <v>1</v>
      </c>
      <c r="W31" s="309"/>
      <c r="X31" s="305">
        <v>1</v>
      </c>
      <c r="Y31" s="305"/>
      <c r="Z31" s="305">
        <v>1</v>
      </c>
      <c r="AA31" s="305"/>
      <c r="AB31" s="305">
        <v>1</v>
      </c>
      <c r="AC31" s="305"/>
      <c r="AD31" s="305">
        <v>1</v>
      </c>
      <c r="AE31" s="305"/>
      <c r="AF31" s="305">
        <v>1</v>
      </c>
      <c r="AG31" s="322"/>
      <c r="AH31" s="296"/>
      <c r="AI31" s="259"/>
      <c r="AJ31" s="260"/>
      <c r="AK31" s="261"/>
    </row>
    <row r="32" spans="1:44" s="262" customFormat="1" ht="39" customHeight="1">
      <c r="A32" s="593"/>
      <c r="B32" s="257" t="s">
        <v>1034</v>
      </c>
      <c r="C32" s="258" t="s">
        <v>339</v>
      </c>
      <c r="D32" s="325"/>
      <c r="E32" s="325"/>
      <c r="F32" s="325"/>
      <c r="G32" s="325"/>
      <c r="H32" s="325"/>
      <c r="I32" s="325"/>
      <c r="J32" s="326"/>
      <c r="K32" s="325"/>
      <c r="L32" s="326"/>
      <c r="M32" s="325"/>
      <c r="N32" s="326"/>
      <c r="O32" s="327"/>
      <c r="P32" s="305"/>
      <c r="Q32" s="309"/>
      <c r="R32" s="305">
        <v>1</v>
      </c>
      <c r="S32" s="309"/>
      <c r="T32" s="305"/>
      <c r="U32" s="309"/>
      <c r="V32" s="305"/>
      <c r="W32" s="309"/>
      <c r="X32" s="305"/>
      <c r="Y32" s="305"/>
      <c r="Z32" s="305"/>
      <c r="AA32" s="305"/>
      <c r="AB32" s="305"/>
      <c r="AC32" s="305"/>
      <c r="AD32" s="305"/>
      <c r="AE32" s="305"/>
      <c r="AF32" s="305"/>
      <c r="AG32" s="322"/>
      <c r="AH32" s="296"/>
      <c r="AI32" s="337"/>
      <c r="AJ32" s="267"/>
      <c r="AK32" s="261"/>
    </row>
    <row r="33" spans="1:45" s="262" customFormat="1" ht="39" customHeight="1">
      <c r="A33" s="593"/>
      <c r="B33" s="257" t="s">
        <v>1035</v>
      </c>
      <c r="C33" s="258" t="s">
        <v>339</v>
      </c>
      <c r="D33" s="325"/>
      <c r="E33" s="325"/>
      <c r="F33" s="325"/>
      <c r="G33" s="325"/>
      <c r="H33" s="325"/>
      <c r="I33" s="325"/>
      <c r="J33" s="326"/>
      <c r="K33" s="325"/>
      <c r="L33" s="326"/>
      <c r="M33" s="325"/>
      <c r="N33" s="326"/>
      <c r="O33" s="327"/>
      <c r="P33" s="305"/>
      <c r="Q33" s="309"/>
      <c r="R33" s="305">
        <v>1</v>
      </c>
      <c r="S33" s="309"/>
      <c r="T33" s="305"/>
      <c r="U33" s="309"/>
      <c r="V33" s="305"/>
      <c r="W33" s="309"/>
      <c r="X33" s="305"/>
      <c r="Y33" s="305"/>
      <c r="Z33" s="305"/>
      <c r="AA33" s="305"/>
      <c r="AB33" s="305"/>
      <c r="AC33" s="305"/>
      <c r="AD33" s="305"/>
      <c r="AE33" s="305"/>
      <c r="AF33" s="305"/>
      <c r="AG33" s="322"/>
      <c r="AH33" s="296"/>
      <c r="AI33" s="337"/>
      <c r="AJ33" s="267"/>
      <c r="AK33" s="261"/>
    </row>
    <row r="34" spans="1:45" s="262" customFormat="1" ht="39" customHeight="1">
      <c r="A34" s="593"/>
      <c r="B34" s="257" t="s">
        <v>1036</v>
      </c>
      <c r="C34" s="258" t="s">
        <v>339</v>
      </c>
      <c r="D34" s="325"/>
      <c r="E34" s="325"/>
      <c r="F34" s="325"/>
      <c r="G34" s="325"/>
      <c r="H34" s="325"/>
      <c r="I34" s="325"/>
      <c r="J34" s="326"/>
      <c r="K34" s="325"/>
      <c r="L34" s="326"/>
      <c r="M34" s="325"/>
      <c r="N34" s="326"/>
      <c r="O34" s="327"/>
      <c r="P34" s="305"/>
      <c r="Q34" s="309"/>
      <c r="R34" s="305">
        <v>1</v>
      </c>
      <c r="S34" s="309"/>
      <c r="T34" s="305"/>
      <c r="U34" s="309"/>
      <c r="V34" s="305">
        <v>1</v>
      </c>
      <c r="W34" s="309"/>
      <c r="X34" s="305"/>
      <c r="Y34" s="305"/>
      <c r="Z34" s="305">
        <v>1</v>
      </c>
      <c r="AA34" s="305"/>
      <c r="AB34" s="305"/>
      <c r="AC34" s="305"/>
      <c r="AD34" s="305">
        <v>1</v>
      </c>
      <c r="AE34" s="305"/>
      <c r="AF34" s="305"/>
      <c r="AG34" s="322"/>
      <c r="AH34" s="296"/>
      <c r="AI34" s="337"/>
      <c r="AJ34" s="267"/>
      <c r="AK34" s="261"/>
    </row>
    <row r="35" spans="1:45" s="262" customFormat="1" ht="58.5" customHeight="1">
      <c r="A35" s="593"/>
      <c r="B35" s="266" t="s">
        <v>356</v>
      </c>
      <c r="C35" s="258" t="s">
        <v>357</v>
      </c>
      <c r="D35" s="325"/>
      <c r="E35" s="325"/>
      <c r="F35" s="325"/>
      <c r="G35" s="325"/>
      <c r="H35" s="325"/>
      <c r="I35" s="325"/>
      <c r="J35" s="326"/>
      <c r="K35" s="325"/>
      <c r="L35" s="326"/>
      <c r="M35" s="325"/>
      <c r="N35" s="326"/>
      <c r="O35" s="327"/>
      <c r="P35" s="305">
        <v>1</v>
      </c>
      <c r="Q35" s="309"/>
      <c r="R35" s="305">
        <v>1</v>
      </c>
      <c r="S35" s="309"/>
      <c r="T35" s="305">
        <v>1</v>
      </c>
      <c r="U35" s="309"/>
      <c r="V35" s="305">
        <v>1</v>
      </c>
      <c r="W35" s="309"/>
      <c r="X35" s="305">
        <v>1</v>
      </c>
      <c r="Y35" s="305"/>
      <c r="Z35" s="305">
        <v>1</v>
      </c>
      <c r="AA35" s="305"/>
      <c r="AB35" s="305">
        <v>1</v>
      </c>
      <c r="AC35" s="305"/>
      <c r="AD35" s="305">
        <v>1</v>
      </c>
      <c r="AE35" s="305"/>
      <c r="AF35" s="305">
        <v>1</v>
      </c>
      <c r="AG35" s="322"/>
      <c r="AH35" s="296"/>
      <c r="AI35" s="259"/>
      <c r="AJ35" s="260"/>
      <c r="AK35" s="261"/>
    </row>
    <row r="36" spans="1:45" s="262" customFormat="1" ht="60" customHeight="1">
      <c r="A36" s="593"/>
      <c r="B36" s="266" t="s">
        <v>358</v>
      </c>
      <c r="C36" s="258" t="s">
        <v>359</v>
      </c>
      <c r="D36" s="325"/>
      <c r="E36" s="325"/>
      <c r="F36" s="325"/>
      <c r="G36" s="325"/>
      <c r="H36" s="325"/>
      <c r="I36" s="325"/>
      <c r="J36" s="326"/>
      <c r="K36" s="325"/>
      <c r="L36" s="326"/>
      <c r="M36" s="325"/>
      <c r="N36" s="326"/>
      <c r="O36" s="327"/>
      <c r="P36" s="306"/>
      <c r="Q36" s="309"/>
      <c r="R36" s="306">
        <v>1</v>
      </c>
      <c r="S36" s="309"/>
      <c r="T36" s="306"/>
      <c r="U36" s="309"/>
      <c r="V36" s="305">
        <v>1</v>
      </c>
      <c r="W36" s="309"/>
      <c r="X36" s="306"/>
      <c r="Y36" s="309"/>
      <c r="Z36" s="305"/>
      <c r="AA36" s="319"/>
      <c r="AB36" s="305">
        <v>1</v>
      </c>
      <c r="AC36" s="322"/>
      <c r="AD36" s="322"/>
      <c r="AE36" s="322"/>
      <c r="AF36" s="322"/>
      <c r="AG36" s="322"/>
      <c r="AH36" s="297" t="s">
        <v>975</v>
      </c>
      <c r="AI36" s="272"/>
      <c r="AJ36" s="272"/>
      <c r="AK36" s="272"/>
      <c r="AL36" s="272"/>
      <c r="AM36" s="272"/>
      <c r="AN36" s="272"/>
    </row>
    <row r="37" spans="1:45" ht="75" customHeight="1">
      <c r="A37" s="593"/>
      <c r="B37" s="257" t="s">
        <v>360</v>
      </c>
      <c r="C37" s="96" t="s">
        <v>361</v>
      </c>
      <c r="D37" s="197"/>
      <c r="E37" s="197"/>
      <c r="F37" s="197"/>
      <c r="G37" s="197"/>
      <c r="H37" s="197"/>
      <c r="I37" s="197"/>
      <c r="J37" s="192"/>
      <c r="K37" s="197"/>
      <c r="L37" s="192"/>
      <c r="M37" s="197"/>
      <c r="N37" s="192"/>
      <c r="O37" s="273"/>
      <c r="P37" s="305">
        <v>1</v>
      </c>
      <c r="Q37" s="309"/>
      <c r="R37" s="305">
        <v>1</v>
      </c>
      <c r="S37" s="309"/>
      <c r="T37" s="305">
        <v>1</v>
      </c>
      <c r="U37" s="309"/>
      <c r="V37" s="305">
        <v>1</v>
      </c>
      <c r="W37" s="309"/>
      <c r="X37" s="305">
        <v>1</v>
      </c>
      <c r="Y37" s="305"/>
      <c r="Z37" s="305">
        <v>1</v>
      </c>
      <c r="AA37" s="305"/>
      <c r="AB37" s="305">
        <v>1</v>
      </c>
      <c r="AC37" s="305"/>
      <c r="AD37" s="305">
        <v>1</v>
      </c>
      <c r="AE37" s="305"/>
      <c r="AF37" s="305">
        <v>1</v>
      </c>
      <c r="AG37" s="322"/>
      <c r="AH37" s="291" t="s">
        <v>976</v>
      </c>
      <c r="AI37" s="268"/>
      <c r="AJ37" s="268"/>
      <c r="AK37" s="268"/>
      <c r="AL37" s="268"/>
      <c r="AM37" s="268"/>
      <c r="AN37" s="268"/>
      <c r="AO37" s="268"/>
      <c r="AP37" s="268"/>
      <c r="AQ37" s="268"/>
    </row>
    <row r="38" spans="1:45" ht="67" customHeight="1">
      <c r="A38" s="593"/>
      <c r="B38" s="193" t="s">
        <v>362</v>
      </c>
      <c r="C38" s="96" t="s">
        <v>363</v>
      </c>
      <c r="D38" s="197"/>
      <c r="E38" s="197"/>
      <c r="F38" s="197"/>
      <c r="G38" s="197"/>
      <c r="H38" s="197"/>
      <c r="I38" s="197"/>
      <c r="J38" s="192"/>
      <c r="K38" s="197"/>
      <c r="L38" s="192"/>
      <c r="M38" s="197"/>
      <c r="N38" s="192"/>
      <c r="O38" s="273"/>
      <c r="P38" s="305">
        <v>1</v>
      </c>
      <c r="Q38" s="309"/>
      <c r="R38" s="305">
        <v>1</v>
      </c>
      <c r="S38" s="309"/>
      <c r="T38" s="305">
        <v>1</v>
      </c>
      <c r="U38" s="309"/>
      <c r="V38" s="305">
        <v>1</v>
      </c>
      <c r="W38" s="309"/>
      <c r="X38" s="305">
        <v>1</v>
      </c>
      <c r="Y38" s="305"/>
      <c r="Z38" s="305">
        <v>1</v>
      </c>
      <c r="AA38" s="305"/>
      <c r="AB38" s="306">
        <v>1</v>
      </c>
      <c r="AC38" s="305"/>
      <c r="AD38" s="305">
        <v>1</v>
      </c>
      <c r="AE38" s="305"/>
      <c r="AF38" s="305">
        <v>1</v>
      </c>
      <c r="AG38" s="301"/>
      <c r="AH38" s="291" t="s">
        <v>977</v>
      </c>
      <c r="AI38" s="268"/>
      <c r="AJ38" s="268"/>
      <c r="AK38" s="268"/>
      <c r="AL38" s="268"/>
      <c r="AM38" s="268"/>
      <c r="AN38" s="268"/>
      <c r="AO38" s="268"/>
      <c r="AP38" s="268"/>
    </row>
    <row r="39" spans="1:45" ht="39" customHeight="1">
      <c r="A39" s="593"/>
      <c r="B39" s="193" t="s">
        <v>364</v>
      </c>
      <c r="C39" s="96" t="s">
        <v>365</v>
      </c>
      <c r="D39" s="197"/>
      <c r="E39" s="197"/>
      <c r="F39" s="197"/>
      <c r="G39" s="197"/>
      <c r="H39" s="197"/>
      <c r="I39" s="197"/>
      <c r="J39" s="192"/>
      <c r="K39" s="197"/>
      <c r="L39" s="192"/>
      <c r="M39" s="197"/>
      <c r="N39" s="192"/>
      <c r="O39" s="273"/>
      <c r="P39" s="306">
        <v>1</v>
      </c>
      <c r="Q39" s="309"/>
      <c r="R39" s="306"/>
      <c r="S39" s="309"/>
      <c r="T39" s="305"/>
      <c r="U39" s="309"/>
      <c r="V39" s="306">
        <v>1</v>
      </c>
      <c r="W39" s="309"/>
      <c r="X39" s="306"/>
      <c r="Y39" s="309"/>
      <c r="Z39" s="306"/>
      <c r="AA39" s="319"/>
      <c r="AB39" s="306">
        <v>1</v>
      </c>
      <c r="AC39" s="322"/>
      <c r="AD39" s="322"/>
      <c r="AE39" s="322"/>
      <c r="AF39" s="322"/>
      <c r="AG39" s="322"/>
      <c r="AH39" s="291" t="s">
        <v>978</v>
      </c>
      <c r="AI39" s="268"/>
      <c r="AJ39" s="268"/>
      <c r="AK39" s="268"/>
      <c r="AL39" s="268"/>
      <c r="AM39" s="268"/>
      <c r="AN39" s="268"/>
      <c r="AO39" s="268"/>
      <c r="AP39" s="268"/>
      <c r="AQ39" s="268"/>
    </row>
    <row r="40" spans="1:45" ht="39" customHeight="1">
      <c r="A40" s="593"/>
      <c r="B40" s="193" t="s">
        <v>366</v>
      </c>
      <c r="C40" s="199" t="s">
        <v>340</v>
      </c>
      <c r="D40" s="197"/>
      <c r="E40" s="197"/>
      <c r="F40" s="197"/>
      <c r="G40" s="197"/>
      <c r="H40" s="197"/>
      <c r="I40" s="197"/>
      <c r="J40" s="192"/>
      <c r="K40" s="197"/>
      <c r="L40" s="192"/>
      <c r="M40" s="197"/>
      <c r="N40" s="192"/>
      <c r="O40" s="273"/>
      <c r="P40" s="304"/>
      <c r="Q40" s="302"/>
      <c r="R40" s="306">
        <v>1</v>
      </c>
      <c r="S40" s="302"/>
      <c r="T40" s="300"/>
      <c r="U40" s="302"/>
      <c r="V40" s="300"/>
      <c r="W40" s="302"/>
      <c r="X40" s="300"/>
      <c r="Y40" s="302"/>
      <c r="Z40" s="300"/>
      <c r="AA40" s="316"/>
      <c r="AB40" s="301"/>
      <c r="AC40" s="301"/>
      <c r="AD40" s="301"/>
      <c r="AE40" s="301"/>
      <c r="AF40" s="301"/>
      <c r="AG40" s="301"/>
      <c r="AH40" s="291" t="s">
        <v>979</v>
      </c>
      <c r="AI40" s="268"/>
      <c r="AJ40" s="268"/>
      <c r="AK40" s="271"/>
    </row>
    <row r="41" spans="1:45" s="262" customFormat="1" ht="39" customHeight="1">
      <c r="A41" s="593"/>
      <c r="B41" s="257" t="s">
        <v>367</v>
      </c>
      <c r="C41" s="334" t="s">
        <v>368</v>
      </c>
      <c r="D41" s="325"/>
      <c r="E41" s="325"/>
      <c r="F41" s="325"/>
      <c r="G41" s="325"/>
      <c r="H41" s="325"/>
      <c r="I41" s="325"/>
      <c r="J41" s="326"/>
      <c r="K41" s="325"/>
      <c r="L41" s="326"/>
      <c r="M41" s="325"/>
      <c r="N41" s="326"/>
      <c r="O41" s="327"/>
      <c r="P41" s="305">
        <v>1</v>
      </c>
      <c r="Q41" s="309"/>
      <c r="R41" s="305">
        <v>1</v>
      </c>
      <c r="S41" s="309"/>
      <c r="T41" s="305">
        <v>1</v>
      </c>
      <c r="U41" s="309"/>
      <c r="V41" s="305">
        <v>1</v>
      </c>
      <c r="W41" s="309"/>
      <c r="X41" s="305">
        <v>1</v>
      </c>
      <c r="Y41" s="309"/>
      <c r="Z41" s="305">
        <v>1</v>
      </c>
      <c r="AA41" s="319"/>
      <c r="AB41" s="305">
        <v>1</v>
      </c>
      <c r="AC41" s="305"/>
      <c r="AD41" s="305">
        <v>1</v>
      </c>
      <c r="AE41" s="305"/>
      <c r="AF41" s="305">
        <v>1</v>
      </c>
      <c r="AG41" s="305"/>
      <c r="AH41" s="296" t="s">
        <v>980</v>
      </c>
      <c r="AI41" s="335"/>
      <c r="AJ41" s="335"/>
      <c r="AK41" s="335"/>
      <c r="AL41" s="335"/>
      <c r="AM41" s="335"/>
      <c r="AN41" s="335"/>
    </row>
    <row r="42" spans="1:45" ht="47.5" customHeight="1">
      <c r="A42" s="593"/>
      <c r="B42" s="193" t="s">
        <v>369</v>
      </c>
      <c r="C42" s="199" t="s">
        <v>370</v>
      </c>
      <c r="D42" s="197"/>
      <c r="E42" s="197"/>
      <c r="F42" s="197"/>
      <c r="G42" s="197"/>
      <c r="H42" s="197"/>
      <c r="I42" s="197"/>
      <c r="J42" s="192"/>
      <c r="K42" s="197"/>
      <c r="L42" s="192"/>
      <c r="M42" s="197"/>
      <c r="N42" s="192"/>
      <c r="O42" s="273"/>
      <c r="P42" s="305">
        <v>1</v>
      </c>
      <c r="Q42" s="309"/>
      <c r="R42" s="305">
        <v>1</v>
      </c>
      <c r="S42" s="309"/>
      <c r="T42" s="305">
        <v>1</v>
      </c>
      <c r="U42" s="309"/>
      <c r="V42" s="305">
        <v>1</v>
      </c>
      <c r="W42" s="309"/>
      <c r="X42" s="305">
        <v>1</v>
      </c>
      <c r="Y42" s="309"/>
      <c r="Z42" s="305">
        <v>1</v>
      </c>
      <c r="AA42" s="319"/>
      <c r="AB42" s="305">
        <v>1</v>
      </c>
      <c r="AC42" s="305"/>
      <c r="AD42" s="305">
        <v>1</v>
      </c>
      <c r="AE42" s="305"/>
      <c r="AF42" s="305">
        <v>1</v>
      </c>
      <c r="AG42" s="305"/>
      <c r="AH42" s="291" t="s">
        <v>981</v>
      </c>
      <c r="AI42" s="196"/>
      <c r="AJ42" s="8"/>
      <c r="AK42" s="198"/>
    </row>
    <row r="43" spans="1:45" ht="77.5" customHeight="1">
      <c r="A43" s="594"/>
      <c r="B43" s="284" t="s">
        <v>1033</v>
      </c>
      <c r="C43" s="96" t="s">
        <v>464</v>
      </c>
      <c r="D43" s="197"/>
      <c r="E43" s="197"/>
      <c r="F43" s="197"/>
      <c r="G43" s="197"/>
      <c r="H43" s="197"/>
      <c r="I43" s="197"/>
      <c r="J43" s="192"/>
      <c r="K43" s="197"/>
      <c r="L43" s="192"/>
      <c r="M43" s="197"/>
      <c r="N43" s="192"/>
      <c r="O43" s="273"/>
      <c r="P43" s="305"/>
      <c r="Q43" s="309"/>
      <c r="R43" s="305"/>
      <c r="S43" s="309"/>
      <c r="T43" s="305"/>
      <c r="U43" s="309"/>
      <c r="V43" s="305">
        <v>1</v>
      </c>
      <c r="W43" s="309"/>
      <c r="X43" s="305"/>
      <c r="Y43" s="309"/>
      <c r="Z43" s="305"/>
      <c r="AA43" s="319"/>
      <c r="AB43" s="305"/>
      <c r="AC43" s="305"/>
      <c r="AD43" s="305"/>
      <c r="AE43" s="305"/>
      <c r="AF43" s="305"/>
      <c r="AG43" s="305"/>
      <c r="AH43" s="291"/>
      <c r="AI43" s="269"/>
      <c r="AJ43" s="270"/>
      <c r="AK43" s="269"/>
    </row>
    <row r="44" spans="1:45" s="262" customFormat="1" ht="66" customHeight="1">
      <c r="A44" s="607" t="s">
        <v>42</v>
      </c>
      <c r="B44" s="263" t="s">
        <v>371</v>
      </c>
      <c r="C44" s="334" t="s">
        <v>340</v>
      </c>
      <c r="D44" s="325"/>
      <c r="E44" s="325"/>
      <c r="F44" s="325"/>
      <c r="G44" s="325"/>
      <c r="H44" s="325"/>
      <c r="I44" s="325"/>
      <c r="J44" s="326"/>
      <c r="K44" s="325"/>
      <c r="L44" s="326"/>
      <c r="M44" s="325"/>
      <c r="N44" s="326"/>
      <c r="O44" s="327"/>
      <c r="P44" s="305"/>
      <c r="Q44" s="309"/>
      <c r="R44" s="305">
        <v>1</v>
      </c>
      <c r="S44" s="309"/>
      <c r="T44" s="305">
        <v>1</v>
      </c>
      <c r="U44" s="309"/>
      <c r="V44" s="305">
        <v>1</v>
      </c>
      <c r="W44" s="309"/>
      <c r="X44" s="305">
        <v>1</v>
      </c>
      <c r="Y44" s="309"/>
      <c r="Z44" s="305">
        <v>1</v>
      </c>
      <c r="AA44" s="319"/>
      <c r="AB44" s="305">
        <v>1</v>
      </c>
      <c r="AC44" s="305"/>
      <c r="AD44" s="305">
        <v>1</v>
      </c>
      <c r="AE44" s="305"/>
      <c r="AF44" s="305">
        <v>1</v>
      </c>
      <c r="AG44" s="305"/>
      <c r="AH44" s="297" t="s">
        <v>1017</v>
      </c>
      <c r="AI44" s="275"/>
      <c r="AJ44" s="275"/>
      <c r="AK44" s="275"/>
      <c r="AL44" s="275"/>
      <c r="AM44" s="275"/>
      <c r="AN44" s="275"/>
      <c r="AO44" s="275"/>
      <c r="AP44" s="275"/>
      <c r="AQ44" s="275"/>
      <c r="AR44" s="275"/>
      <c r="AS44" s="275"/>
    </row>
    <row r="45" spans="1:45" s="262" customFormat="1" ht="36" customHeight="1">
      <c r="A45" s="608"/>
      <c r="B45" s="263" t="s">
        <v>1037</v>
      </c>
      <c r="C45" s="334" t="s">
        <v>340</v>
      </c>
      <c r="D45" s="325"/>
      <c r="E45" s="325"/>
      <c r="F45" s="325"/>
      <c r="G45" s="325"/>
      <c r="H45" s="325"/>
      <c r="I45" s="325"/>
      <c r="J45" s="326"/>
      <c r="K45" s="325"/>
      <c r="L45" s="326"/>
      <c r="M45" s="325"/>
      <c r="N45" s="326"/>
      <c r="O45" s="327"/>
      <c r="P45" s="305">
        <v>1</v>
      </c>
      <c r="Q45" s="309"/>
      <c r="R45" s="305"/>
      <c r="S45" s="309"/>
      <c r="T45" s="305"/>
      <c r="U45" s="309"/>
      <c r="V45" s="305"/>
      <c r="W45" s="309"/>
      <c r="X45" s="305"/>
      <c r="Y45" s="309"/>
      <c r="Z45" s="305"/>
      <c r="AA45" s="319"/>
      <c r="AB45" s="322"/>
      <c r="AC45" s="322"/>
      <c r="AD45" s="322"/>
      <c r="AE45" s="322"/>
      <c r="AF45" s="322"/>
      <c r="AG45" s="322"/>
      <c r="AH45" s="296"/>
      <c r="AI45" s="259"/>
      <c r="AJ45" s="260"/>
      <c r="AK45" s="261"/>
    </row>
    <row r="46" spans="1:45" ht="56.15" customHeight="1">
      <c r="A46" s="608"/>
      <c r="B46" s="200" t="s">
        <v>372</v>
      </c>
      <c r="C46" s="199" t="s">
        <v>340</v>
      </c>
      <c r="D46" s="197"/>
      <c r="E46" s="197"/>
      <c r="F46" s="197"/>
      <c r="G46" s="197"/>
      <c r="H46" s="197"/>
      <c r="I46" s="197"/>
      <c r="J46" s="192"/>
      <c r="K46" s="197"/>
      <c r="L46" s="192"/>
      <c r="M46" s="197"/>
      <c r="N46" s="192"/>
      <c r="O46" s="273"/>
      <c r="P46" s="300"/>
      <c r="Q46" s="302"/>
      <c r="R46" s="300"/>
      <c r="S46" s="302"/>
      <c r="T46" s="304"/>
      <c r="U46" s="302"/>
      <c r="V46" s="302"/>
      <c r="W46" s="302"/>
      <c r="X46" s="305">
        <v>1</v>
      </c>
      <c r="Y46" s="302"/>
      <c r="Z46" s="302"/>
      <c r="AA46" s="319"/>
      <c r="AB46" s="301"/>
      <c r="AC46" s="301"/>
      <c r="AD46" s="301"/>
      <c r="AE46" s="301"/>
      <c r="AF46" s="301"/>
      <c r="AG46" s="301"/>
      <c r="AH46" s="291" t="s">
        <v>1018</v>
      </c>
      <c r="AI46" s="8"/>
      <c r="AJ46" s="8"/>
      <c r="AK46" s="9"/>
    </row>
    <row r="47" spans="1:45" ht="20.25" customHeight="1">
      <c r="A47" s="608"/>
      <c r="B47" s="200" t="s">
        <v>373</v>
      </c>
      <c r="C47" s="96" t="s">
        <v>374</v>
      </c>
      <c r="D47" s="197"/>
      <c r="E47" s="197"/>
      <c r="F47" s="197"/>
      <c r="G47" s="197"/>
      <c r="H47" s="197"/>
      <c r="I47" s="197"/>
      <c r="J47" s="192"/>
      <c r="K47" s="197"/>
      <c r="L47" s="192"/>
      <c r="M47" s="197"/>
      <c r="N47" s="192"/>
      <c r="O47" s="273"/>
      <c r="P47" s="300"/>
      <c r="Q47" s="302"/>
      <c r="R47" s="300">
        <v>1</v>
      </c>
      <c r="S47" s="302"/>
      <c r="T47" s="300"/>
      <c r="U47" s="302"/>
      <c r="V47" s="336"/>
      <c r="W47" s="303"/>
      <c r="X47" s="302"/>
      <c r="Y47" s="302"/>
      <c r="Z47" s="302"/>
      <c r="AA47" s="316"/>
      <c r="AB47" s="301"/>
      <c r="AC47" s="301"/>
      <c r="AD47" s="301"/>
      <c r="AE47" s="301"/>
      <c r="AF47" s="301"/>
      <c r="AG47" s="301"/>
      <c r="AH47" s="295" t="s">
        <v>982</v>
      </c>
      <c r="AI47" s="268"/>
      <c r="AJ47" s="268"/>
      <c r="AK47" s="271"/>
    </row>
    <row r="48" spans="1:45" ht="24" customHeight="1">
      <c r="A48" s="608"/>
      <c r="B48" s="200" t="s">
        <v>375</v>
      </c>
      <c r="C48" s="96" t="s">
        <v>340</v>
      </c>
      <c r="D48" s="197"/>
      <c r="E48" s="197"/>
      <c r="F48" s="197"/>
      <c r="G48" s="197"/>
      <c r="H48" s="197"/>
      <c r="I48" s="197"/>
      <c r="J48" s="190"/>
      <c r="K48" s="190"/>
      <c r="L48" s="190"/>
      <c r="M48" s="190"/>
      <c r="N48" s="192"/>
      <c r="O48" s="278"/>
      <c r="P48" s="305">
        <v>1</v>
      </c>
      <c r="Q48" s="309"/>
      <c r="R48" s="305">
        <v>1</v>
      </c>
      <c r="S48" s="309"/>
      <c r="T48" s="305">
        <v>1</v>
      </c>
      <c r="U48" s="309"/>
      <c r="V48" s="305">
        <v>1</v>
      </c>
      <c r="W48" s="309"/>
      <c r="X48" s="305">
        <v>1</v>
      </c>
      <c r="Y48" s="309"/>
      <c r="Z48" s="305">
        <v>1</v>
      </c>
      <c r="AA48" s="319"/>
      <c r="AB48" s="305">
        <v>1</v>
      </c>
      <c r="AC48" s="305"/>
      <c r="AD48" s="305">
        <v>1</v>
      </c>
      <c r="AE48" s="305"/>
      <c r="AF48" s="305">
        <v>1</v>
      </c>
      <c r="AG48" s="301"/>
      <c r="AH48" s="295"/>
      <c r="AI48" s="8"/>
      <c r="AJ48" s="8"/>
      <c r="AK48" s="9"/>
    </row>
    <row r="49" spans="1:44" ht="54.65" customHeight="1">
      <c r="A49" s="609"/>
      <c r="B49" s="200" t="s">
        <v>376</v>
      </c>
      <c r="C49" s="96" t="s">
        <v>377</v>
      </c>
      <c r="D49" s="197"/>
      <c r="E49" s="197"/>
      <c r="F49" s="197"/>
      <c r="G49" s="197"/>
      <c r="H49" s="197"/>
      <c r="I49" s="197"/>
      <c r="J49" s="190"/>
      <c r="K49" s="190"/>
      <c r="L49" s="190"/>
      <c r="M49" s="190"/>
      <c r="N49" s="192"/>
      <c r="O49" s="278"/>
      <c r="P49" s="304"/>
      <c r="Q49" s="307"/>
      <c r="R49" s="305"/>
      <c r="S49" s="307"/>
      <c r="T49" s="304">
        <v>1</v>
      </c>
      <c r="U49" s="308"/>
      <c r="V49" s="304"/>
      <c r="W49" s="308"/>
      <c r="X49" s="304"/>
      <c r="Y49" s="308"/>
      <c r="Z49" s="304"/>
      <c r="AA49" s="317"/>
      <c r="AB49" s="301"/>
      <c r="AC49" s="301"/>
      <c r="AD49" s="301"/>
      <c r="AE49" s="301"/>
      <c r="AF49" s="301"/>
      <c r="AG49" s="301"/>
      <c r="AH49" s="291" t="s">
        <v>983</v>
      </c>
      <c r="AI49" s="268"/>
      <c r="AJ49" s="268"/>
      <c r="AK49" s="268"/>
      <c r="AL49" s="268"/>
      <c r="AM49" s="268"/>
      <c r="AN49" s="268"/>
      <c r="AO49" s="268"/>
      <c r="AP49" s="268"/>
      <c r="AQ49" s="268"/>
      <c r="AR49" s="268"/>
    </row>
    <row r="50" spans="1:44" ht="52" customHeight="1">
      <c r="A50" s="610"/>
      <c r="B50" s="200" t="s">
        <v>378</v>
      </c>
      <c r="C50" s="96" t="s">
        <v>379</v>
      </c>
      <c r="D50" s="197"/>
      <c r="E50" s="197"/>
      <c r="F50" s="197"/>
      <c r="G50" s="197"/>
      <c r="H50" s="197"/>
      <c r="I50" s="197"/>
      <c r="J50" s="190"/>
      <c r="K50" s="190"/>
      <c r="L50" s="190"/>
      <c r="M50" s="190"/>
      <c r="N50" s="192"/>
      <c r="O50" s="278"/>
      <c r="P50" s="305">
        <v>1</v>
      </c>
      <c r="Q50" s="309"/>
      <c r="R50" s="305">
        <v>1</v>
      </c>
      <c r="S50" s="309"/>
      <c r="T50" s="305">
        <v>1</v>
      </c>
      <c r="U50" s="309"/>
      <c r="V50" s="305">
        <v>1</v>
      </c>
      <c r="W50" s="309"/>
      <c r="X50" s="305">
        <v>1</v>
      </c>
      <c r="Y50" s="309"/>
      <c r="Z50" s="305">
        <v>1</v>
      </c>
      <c r="AA50" s="319"/>
      <c r="AB50" s="305">
        <v>1</v>
      </c>
      <c r="AC50" s="305"/>
      <c r="AD50" s="305">
        <v>1</v>
      </c>
      <c r="AE50" s="305"/>
      <c r="AF50" s="305">
        <v>1</v>
      </c>
      <c r="AG50" s="301"/>
      <c r="AH50" s="295"/>
      <c r="AI50" s="8"/>
      <c r="AJ50" s="8"/>
      <c r="AK50" s="9"/>
    </row>
    <row r="51" spans="1:44" ht="20.25" customHeight="1">
      <c r="A51" s="608"/>
      <c r="B51" s="200" t="s">
        <v>380</v>
      </c>
      <c r="C51" s="96" t="s">
        <v>381</v>
      </c>
      <c r="D51" s="197"/>
      <c r="E51" s="197"/>
      <c r="F51" s="197"/>
      <c r="G51" s="197"/>
      <c r="H51" s="197"/>
      <c r="I51" s="197"/>
      <c r="J51" s="190"/>
      <c r="K51" s="190"/>
      <c r="L51" s="190"/>
      <c r="M51" s="190"/>
      <c r="N51" s="192"/>
      <c r="O51" s="278"/>
      <c r="P51" s="305"/>
      <c r="Q51" s="308"/>
      <c r="R51" s="300">
        <v>1</v>
      </c>
      <c r="S51" s="308"/>
      <c r="T51" s="300"/>
      <c r="U51" s="308"/>
      <c r="V51" s="300"/>
      <c r="W51" s="308"/>
      <c r="X51" s="300"/>
      <c r="Y51" s="308"/>
      <c r="Z51" s="300"/>
      <c r="AA51" s="317"/>
      <c r="AB51" s="301"/>
      <c r="AC51" s="301"/>
      <c r="AD51" s="301"/>
      <c r="AE51" s="301"/>
      <c r="AF51" s="301"/>
      <c r="AG51" s="301"/>
      <c r="AH51" s="295" t="s">
        <v>984</v>
      </c>
      <c r="AI51" s="8"/>
      <c r="AJ51" s="8"/>
      <c r="AK51" s="9"/>
    </row>
    <row r="52" spans="1:44" ht="58.5" customHeight="1">
      <c r="A52" s="608"/>
      <c r="B52" s="200" t="s">
        <v>382</v>
      </c>
      <c r="C52" s="96" t="s">
        <v>383</v>
      </c>
      <c r="D52" s="197"/>
      <c r="E52" s="197"/>
      <c r="F52" s="197"/>
      <c r="G52" s="197"/>
      <c r="H52" s="197"/>
      <c r="I52" s="197"/>
      <c r="J52" s="190"/>
      <c r="K52" s="190"/>
      <c r="L52" s="190"/>
      <c r="M52" s="190"/>
      <c r="N52" s="192"/>
      <c r="O52" s="278"/>
      <c r="P52" s="305">
        <v>1</v>
      </c>
      <c r="Q52" s="308"/>
      <c r="R52" s="300"/>
      <c r="S52" s="308"/>
      <c r="T52" s="300"/>
      <c r="U52" s="308"/>
      <c r="V52" s="300"/>
      <c r="W52" s="308"/>
      <c r="X52" s="300"/>
      <c r="Y52" s="308"/>
      <c r="Z52" s="300"/>
      <c r="AA52" s="317"/>
      <c r="AB52" s="301"/>
      <c r="AC52" s="301"/>
      <c r="AD52" s="301"/>
      <c r="AE52" s="301"/>
      <c r="AF52" s="301"/>
      <c r="AG52" s="301"/>
      <c r="AH52" s="295"/>
      <c r="AI52" s="8"/>
      <c r="AJ52" s="8"/>
      <c r="AK52" s="9"/>
    </row>
    <row r="53" spans="1:44" ht="20.25" customHeight="1">
      <c r="A53" s="608"/>
      <c r="B53" s="200" t="s">
        <v>384</v>
      </c>
      <c r="C53" s="96" t="s">
        <v>381</v>
      </c>
      <c r="D53" s="197"/>
      <c r="E53" s="197"/>
      <c r="F53" s="197"/>
      <c r="G53" s="197"/>
      <c r="H53" s="197"/>
      <c r="I53" s="197"/>
      <c r="J53" s="190"/>
      <c r="K53" s="190"/>
      <c r="L53" s="190"/>
      <c r="M53" s="190"/>
      <c r="N53" s="192"/>
      <c r="O53" s="278"/>
      <c r="P53" s="305"/>
      <c r="Q53" s="308"/>
      <c r="R53" s="304"/>
      <c r="S53" s="308"/>
      <c r="T53" s="304">
        <v>1</v>
      </c>
      <c r="U53" s="308"/>
      <c r="V53" s="304">
        <v>1</v>
      </c>
      <c r="W53" s="308"/>
      <c r="X53" s="304">
        <v>1</v>
      </c>
      <c r="Y53" s="308"/>
      <c r="Z53" s="304">
        <v>1</v>
      </c>
      <c r="AA53" s="317"/>
      <c r="AB53" s="304">
        <v>1</v>
      </c>
      <c r="AC53" s="304"/>
      <c r="AD53" s="304">
        <v>1</v>
      </c>
      <c r="AE53" s="304"/>
      <c r="AF53" s="304">
        <v>1</v>
      </c>
      <c r="AG53" s="301"/>
      <c r="AH53" s="295"/>
      <c r="AI53" s="8"/>
      <c r="AJ53" s="8"/>
      <c r="AK53" s="9"/>
    </row>
    <row r="54" spans="1:44" ht="55" customHeight="1">
      <c r="A54" s="575" t="s">
        <v>47</v>
      </c>
      <c r="B54" s="200" t="s">
        <v>385</v>
      </c>
      <c r="C54" s="96" t="s">
        <v>386</v>
      </c>
      <c r="D54" s="197"/>
      <c r="E54" s="197"/>
      <c r="F54" s="197"/>
      <c r="G54" s="197"/>
      <c r="H54" s="197"/>
      <c r="I54" s="197"/>
      <c r="J54" s="190"/>
      <c r="K54" s="190"/>
      <c r="L54" s="190"/>
      <c r="M54" s="190"/>
      <c r="N54" s="192"/>
      <c r="O54" s="278"/>
      <c r="P54" s="305">
        <v>1</v>
      </c>
      <c r="Q54" s="309"/>
      <c r="R54" s="305">
        <v>1</v>
      </c>
      <c r="S54" s="309"/>
      <c r="T54" s="305">
        <v>1</v>
      </c>
      <c r="U54" s="309"/>
      <c r="V54" s="305">
        <v>1</v>
      </c>
      <c r="W54" s="309"/>
      <c r="X54" s="305">
        <v>1</v>
      </c>
      <c r="Y54" s="309"/>
      <c r="Z54" s="305">
        <v>1</v>
      </c>
      <c r="AA54" s="319"/>
      <c r="AB54" s="305">
        <v>1</v>
      </c>
      <c r="AC54" s="305"/>
      <c r="AD54" s="305">
        <v>1</v>
      </c>
      <c r="AE54" s="305"/>
      <c r="AF54" s="305">
        <v>1</v>
      </c>
      <c r="AG54" s="301"/>
      <c r="AH54" s="291" t="s">
        <v>985</v>
      </c>
      <c r="AI54" s="8"/>
      <c r="AJ54" s="8"/>
      <c r="AK54" s="9"/>
    </row>
    <row r="55" spans="1:44" s="262" customFormat="1" ht="53.5" customHeight="1">
      <c r="A55" s="576"/>
      <c r="B55" s="257" t="s">
        <v>387</v>
      </c>
      <c r="C55" s="258" t="s">
        <v>388</v>
      </c>
      <c r="D55" s="197"/>
      <c r="E55" s="197"/>
      <c r="F55" s="197"/>
      <c r="G55" s="197"/>
      <c r="H55" s="197"/>
      <c r="I55" s="197"/>
      <c r="J55" s="197"/>
      <c r="K55" s="197"/>
      <c r="L55" s="190"/>
      <c r="M55" s="190"/>
      <c r="N55" s="192"/>
      <c r="O55" s="278"/>
      <c r="P55" s="306">
        <v>1</v>
      </c>
      <c r="Q55" s="309"/>
      <c r="R55" s="305"/>
      <c r="S55" s="309"/>
      <c r="T55" s="306"/>
      <c r="U55" s="309"/>
      <c r="V55" s="306"/>
      <c r="W55" s="309"/>
      <c r="X55" s="306"/>
      <c r="Y55" s="309"/>
      <c r="Z55" s="306"/>
      <c r="AA55" s="319"/>
      <c r="AB55" s="322"/>
      <c r="AC55" s="322"/>
      <c r="AD55" s="322"/>
      <c r="AE55" s="322"/>
      <c r="AF55" s="322"/>
      <c r="AG55" s="322"/>
      <c r="AH55" s="297" t="s">
        <v>986</v>
      </c>
      <c r="AI55" s="260"/>
      <c r="AJ55" s="260"/>
      <c r="AK55" s="264"/>
    </row>
    <row r="56" spans="1:44" s="262" customFormat="1" ht="39" customHeight="1">
      <c r="A56" s="576"/>
      <c r="B56" s="257" t="s">
        <v>389</v>
      </c>
      <c r="C56" s="258" t="s">
        <v>388</v>
      </c>
      <c r="D56" s="197"/>
      <c r="E56" s="197"/>
      <c r="F56" s="197"/>
      <c r="G56" s="197"/>
      <c r="H56" s="197"/>
      <c r="I56" s="197"/>
      <c r="J56" s="197"/>
      <c r="K56" s="197"/>
      <c r="L56" s="190"/>
      <c r="M56" s="190"/>
      <c r="N56" s="192"/>
      <c r="O56" s="278"/>
      <c r="P56" s="305">
        <v>1</v>
      </c>
      <c r="Q56" s="309"/>
      <c r="R56" s="305">
        <v>1</v>
      </c>
      <c r="S56" s="309"/>
      <c r="T56" s="305">
        <v>1</v>
      </c>
      <c r="U56" s="309"/>
      <c r="V56" s="305">
        <v>1</v>
      </c>
      <c r="W56" s="309"/>
      <c r="X56" s="305">
        <v>1</v>
      </c>
      <c r="Y56" s="309"/>
      <c r="Z56" s="305">
        <v>1</v>
      </c>
      <c r="AA56" s="319"/>
      <c r="AB56" s="305">
        <v>1</v>
      </c>
      <c r="AC56" s="322"/>
      <c r="AD56" s="305">
        <v>1</v>
      </c>
      <c r="AE56" s="322"/>
      <c r="AF56" s="305">
        <v>1</v>
      </c>
      <c r="AG56" s="322"/>
      <c r="AH56" s="296" t="s">
        <v>987</v>
      </c>
      <c r="AI56" s="260"/>
      <c r="AJ56" s="260"/>
      <c r="AK56" s="264"/>
    </row>
    <row r="57" spans="1:44" s="262" customFormat="1" ht="61" customHeight="1">
      <c r="A57" s="576"/>
      <c r="B57" s="257" t="s">
        <v>390</v>
      </c>
      <c r="C57" s="258" t="s">
        <v>391</v>
      </c>
      <c r="D57" s="197"/>
      <c r="E57" s="197"/>
      <c r="F57" s="197"/>
      <c r="G57" s="197"/>
      <c r="H57" s="197"/>
      <c r="I57" s="197"/>
      <c r="J57" s="190"/>
      <c r="K57" s="190"/>
      <c r="L57" s="190"/>
      <c r="M57" s="190"/>
      <c r="N57" s="192"/>
      <c r="O57" s="278"/>
      <c r="P57" s="305">
        <v>1</v>
      </c>
      <c r="Q57" s="309"/>
      <c r="R57" s="305">
        <v>1</v>
      </c>
      <c r="S57" s="309"/>
      <c r="T57" s="305">
        <v>1</v>
      </c>
      <c r="U57" s="309"/>
      <c r="V57" s="305">
        <v>1</v>
      </c>
      <c r="W57" s="309"/>
      <c r="X57" s="305">
        <v>1</v>
      </c>
      <c r="Y57" s="309"/>
      <c r="Z57" s="305">
        <v>1</v>
      </c>
      <c r="AA57" s="319"/>
      <c r="AB57" s="305">
        <v>1</v>
      </c>
      <c r="AC57" s="322"/>
      <c r="AD57" s="305">
        <v>1</v>
      </c>
      <c r="AE57" s="322"/>
      <c r="AF57" s="305">
        <v>1</v>
      </c>
      <c r="AG57" s="322"/>
      <c r="AH57" s="297" t="s">
        <v>1019</v>
      </c>
      <c r="AI57" s="275"/>
      <c r="AJ57" s="275"/>
      <c r="AK57" s="275"/>
      <c r="AL57" s="275"/>
      <c r="AM57" s="275"/>
      <c r="AN57" s="275"/>
    </row>
    <row r="58" spans="1:44" s="262" customFormat="1" ht="39" customHeight="1">
      <c r="A58" s="576"/>
      <c r="B58" s="257" t="s">
        <v>392</v>
      </c>
      <c r="C58" s="258" t="s">
        <v>393</v>
      </c>
      <c r="D58" s="197"/>
      <c r="E58" s="197"/>
      <c r="F58" s="197"/>
      <c r="G58" s="197"/>
      <c r="H58" s="197"/>
      <c r="I58" s="197"/>
      <c r="J58" s="190"/>
      <c r="K58" s="190"/>
      <c r="L58" s="190"/>
      <c r="M58" s="190"/>
      <c r="N58" s="192"/>
      <c r="O58" s="278"/>
      <c r="P58" s="305">
        <v>1</v>
      </c>
      <c r="Q58" s="309"/>
      <c r="R58" s="305">
        <v>1</v>
      </c>
      <c r="S58" s="309"/>
      <c r="T58" s="305">
        <v>1</v>
      </c>
      <c r="U58" s="309"/>
      <c r="V58" s="305">
        <v>1</v>
      </c>
      <c r="W58" s="309"/>
      <c r="X58" s="305">
        <v>1</v>
      </c>
      <c r="Y58" s="309"/>
      <c r="Z58" s="305">
        <v>1</v>
      </c>
      <c r="AA58" s="319"/>
      <c r="AB58" s="305">
        <v>1</v>
      </c>
      <c r="AC58" s="322"/>
      <c r="AD58" s="305">
        <v>1</v>
      </c>
      <c r="AE58" s="322"/>
      <c r="AF58" s="305">
        <v>1</v>
      </c>
      <c r="AG58" s="322"/>
      <c r="AH58" s="296" t="s">
        <v>988</v>
      </c>
      <c r="AI58" s="275"/>
      <c r="AJ58" s="275"/>
      <c r="AK58" s="275"/>
      <c r="AL58" s="275"/>
      <c r="AM58" s="275"/>
      <c r="AN58" s="275"/>
    </row>
    <row r="59" spans="1:44" s="262" customFormat="1" ht="39" customHeight="1">
      <c r="A59" s="576"/>
      <c r="B59" s="257" t="s">
        <v>394</v>
      </c>
      <c r="C59" s="258" t="s">
        <v>395</v>
      </c>
      <c r="D59" s="197"/>
      <c r="E59" s="197"/>
      <c r="F59" s="197"/>
      <c r="G59" s="197"/>
      <c r="H59" s="197"/>
      <c r="I59" s="197"/>
      <c r="J59" s="190"/>
      <c r="K59" s="190"/>
      <c r="L59" s="190"/>
      <c r="M59" s="190"/>
      <c r="N59" s="192"/>
      <c r="O59" s="278"/>
      <c r="P59" s="305">
        <v>1</v>
      </c>
      <c r="Q59" s="309"/>
      <c r="R59" s="305">
        <v>1</v>
      </c>
      <c r="S59" s="309"/>
      <c r="T59" s="305">
        <v>1</v>
      </c>
      <c r="U59" s="309"/>
      <c r="V59" s="305">
        <v>1</v>
      </c>
      <c r="W59" s="309"/>
      <c r="X59" s="305">
        <v>1</v>
      </c>
      <c r="Y59" s="309"/>
      <c r="Z59" s="305">
        <v>1</v>
      </c>
      <c r="AA59" s="319"/>
      <c r="AB59" s="305">
        <v>1</v>
      </c>
      <c r="AC59" s="322"/>
      <c r="AD59" s="305">
        <v>1</v>
      </c>
      <c r="AE59" s="322"/>
      <c r="AF59" s="305">
        <v>1</v>
      </c>
      <c r="AG59" s="322"/>
      <c r="AH59" s="296" t="s">
        <v>989</v>
      </c>
      <c r="AI59" s="260"/>
      <c r="AJ59" s="260"/>
      <c r="AK59" s="264"/>
    </row>
    <row r="60" spans="1:44" s="262" customFormat="1" ht="39" customHeight="1">
      <c r="A60" s="576"/>
      <c r="B60" s="257" t="s">
        <v>396</v>
      </c>
      <c r="C60" s="258" t="s">
        <v>397</v>
      </c>
      <c r="D60" s="197"/>
      <c r="E60" s="197"/>
      <c r="F60" s="197"/>
      <c r="G60" s="197"/>
      <c r="H60" s="197"/>
      <c r="I60" s="197"/>
      <c r="J60" s="190"/>
      <c r="K60" s="190"/>
      <c r="L60" s="190"/>
      <c r="M60" s="190"/>
      <c r="N60" s="192"/>
      <c r="O60" s="278"/>
      <c r="P60" s="305">
        <v>1</v>
      </c>
      <c r="Q60" s="309"/>
      <c r="R60" s="305">
        <v>1</v>
      </c>
      <c r="S60" s="309"/>
      <c r="T60" s="305">
        <v>1</v>
      </c>
      <c r="U60" s="309"/>
      <c r="V60" s="305">
        <v>1</v>
      </c>
      <c r="W60" s="309"/>
      <c r="X60" s="305">
        <v>1</v>
      </c>
      <c r="Y60" s="309"/>
      <c r="Z60" s="305">
        <v>1</v>
      </c>
      <c r="AA60" s="319"/>
      <c r="AB60" s="305">
        <v>1</v>
      </c>
      <c r="AC60" s="322"/>
      <c r="AD60" s="305">
        <v>1</v>
      </c>
      <c r="AE60" s="322"/>
      <c r="AF60" s="305">
        <v>1</v>
      </c>
      <c r="AG60" s="322"/>
      <c r="AH60" s="296" t="s">
        <v>1020</v>
      </c>
      <c r="AI60" s="260"/>
      <c r="AJ60" s="260"/>
      <c r="AK60" s="264"/>
    </row>
    <row r="61" spans="1:44" s="262" customFormat="1" ht="58.5" customHeight="1">
      <c r="A61" s="576"/>
      <c r="B61" s="257" t="s">
        <v>398</v>
      </c>
      <c r="C61" s="258" t="s">
        <v>399</v>
      </c>
      <c r="D61" s="197"/>
      <c r="E61" s="197"/>
      <c r="F61" s="197"/>
      <c r="G61" s="197"/>
      <c r="H61" s="197"/>
      <c r="I61" s="197"/>
      <c r="J61" s="190"/>
      <c r="K61" s="190"/>
      <c r="L61" s="190"/>
      <c r="M61" s="190"/>
      <c r="N61" s="192"/>
      <c r="O61" s="278"/>
      <c r="P61" s="306"/>
      <c r="Q61" s="307"/>
      <c r="R61" s="305">
        <v>1</v>
      </c>
      <c r="S61" s="307"/>
      <c r="T61" s="306"/>
      <c r="U61" s="307"/>
      <c r="V61" s="306"/>
      <c r="W61" s="307"/>
      <c r="X61" s="306"/>
      <c r="Y61" s="307"/>
      <c r="Z61" s="306"/>
      <c r="AA61" s="318"/>
      <c r="AB61" s="322"/>
      <c r="AC61" s="322"/>
      <c r="AD61" s="322"/>
      <c r="AE61" s="322"/>
      <c r="AF61" s="322"/>
      <c r="AG61" s="322"/>
      <c r="AH61" s="296" t="s">
        <v>990</v>
      </c>
      <c r="AI61" s="260"/>
      <c r="AJ61" s="260"/>
      <c r="AK61" s="264"/>
    </row>
    <row r="62" spans="1:44" s="262" customFormat="1" ht="39" customHeight="1">
      <c r="A62" s="576"/>
      <c r="B62" s="257" t="s">
        <v>400</v>
      </c>
      <c r="C62" s="258" t="s">
        <v>401</v>
      </c>
      <c r="D62" s="197"/>
      <c r="E62" s="197"/>
      <c r="F62" s="197"/>
      <c r="G62" s="197"/>
      <c r="H62" s="197"/>
      <c r="I62" s="197"/>
      <c r="J62" s="190"/>
      <c r="K62" s="190"/>
      <c r="L62" s="190"/>
      <c r="M62" s="190"/>
      <c r="N62" s="192"/>
      <c r="O62" s="278"/>
      <c r="P62" s="305">
        <v>1</v>
      </c>
      <c r="Q62" s="309"/>
      <c r="R62" s="305">
        <v>1</v>
      </c>
      <c r="S62" s="309"/>
      <c r="T62" s="305">
        <v>1</v>
      </c>
      <c r="U62" s="309"/>
      <c r="V62" s="305">
        <v>1</v>
      </c>
      <c r="W62" s="309"/>
      <c r="X62" s="305">
        <v>1</v>
      </c>
      <c r="Y62" s="309"/>
      <c r="Z62" s="305">
        <v>1</v>
      </c>
      <c r="AA62" s="319"/>
      <c r="AB62" s="305">
        <v>1</v>
      </c>
      <c r="AC62" s="322"/>
      <c r="AD62" s="305">
        <v>1</v>
      </c>
      <c r="AE62" s="322"/>
      <c r="AF62" s="305">
        <v>1</v>
      </c>
      <c r="AG62" s="322"/>
      <c r="AH62" s="296"/>
      <c r="AI62" s="260"/>
      <c r="AJ62" s="260"/>
      <c r="AK62" s="264"/>
    </row>
    <row r="63" spans="1:44" s="262" customFormat="1" ht="78" customHeight="1">
      <c r="A63" s="576"/>
      <c r="B63" s="257" t="s">
        <v>402</v>
      </c>
      <c r="C63" s="258" t="s">
        <v>403</v>
      </c>
      <c r="D63" s="197"/>
      <c r="E63" s="197"/>
      <c r="F63" s="197"/>
      <c r="G63" s="197"/>
      <c r="H63" s="197"/>
      <c r="I63" s="197"/>
      <c r="J63" s="190"/>
      <c r="K63" s="190"/>
      <c r="L63" s="190"/>
      <c r="M63" s="190"/>
      <c r="N63" s="192"/>
      <c r="O63" s="278"/>
      <c r="P63" s="306"/>
      <c r="Q63" s="307"/>
      <c r="R63" s="306"/>
      <c r="S63" s="307"/>
      <c r="T63" s="305"/>
      <c r="U63" s="307"/>
      <c r="V63" s="306"/>
      <c r="W63" s="307"/>
      <c r="X63" s="306">
        <v>1</v>
      </c>
      <c r="Y63" s="307"/>
      <c r="Z63" s="306"/>
      <c r="AA63" s="318"/>
      <c r="AB63" s="322"/>
      <c r="AC63" s="322"/>
      <c r="AD63" s="322"/>
      <c r="AE63" s="322"/>
      <c r="AF63" s="322"/>
      <c r="AG63" s="322"/>
      <c r="AH63" s="297" t="s">
        <v>1001</v>
      </c>
      <c r="AI63" s="260"/>
      <c r="AJ63" s="260"/>
      <c r="AK63" s="264"/>
    </row>
    <row r="64" spans="1:44" s="262" customFormat="1" ht="78" customHeight="1">
      <c r="A64" s="576"/>
      <c r="B64" s="257" t="s">
        <v>1038</v>
      </c>
      <c r="C64" s="258" t="s">
        <v>403</v>
      </c>
      <c r="D64" s="197"/>
      <c r="E64" s="197"/>
      <c r="F64" s="197"/>
      <c r="G64" s="197"/>
      <c r="H64" s="197"/>
      <c r="I64" s="197"/>
      <c r="J64" s="190"/>
      <c r="K64" s="190"/>
      <c r="L64" s="190"/>
      <c r="M64" s="190"/>
      <c r="N64" s="192"/>
      <c r="O64" s="278"/>
      <c r="P64" s="306">
        <v>1</v>
      </c>
      <c r="Q64" s="307"/>
      <c r="R64" s="306"/>
      <c r="S64" s="307"/>
      <c r="T64" s="305"/>
      <c r="U64" s="307"/>
      <c r="V64" s="306"/>
      <c r="W64" s="307"/>
      <c r="X64" s="306"/>
      <c r="Y64" s="307"/>
      <c r="Z64" s="306"/>
      <c r="AA64" s="318"/>
      <c r="AB64" s="322"/>
      <c r="AC64" s="322"/>
      <c r="AD64" s="322"/>
      <c r="AE64" s="322"/>
      <c r="AF64" s="322"/>
      <c r="AG64" s="322"/>
      <c r="AH64" s="297" t="s">
        <v>1021</v>
      </c>
      <c r="AI64" s="275"/>
      <c r="AJ64" s="275"/>
      <c r="AK64" s="275"/>
      <c r="AL64" s="275"/>
    </row>
    <row r="65" spans="1:41" s="262" customFormat="1" ht="78" customHeight="1">
      <c r="A65" s="576"/>
      <c r="B65" s="257" t="s">
        <v>968</v>
      </c>
      <c r="C65" s="258" t="s">
        <v>403</v>
      </c>
      <c r="D65" s="197"/>
      <c r="E65" s="197"/>
      <c r="F65" s="197"/>
      <c r="G65" s="197"/>
      <c r="H65" s="197"/>
      <c r="I65" s="197"/>
      <c r="J65" s="190"/>
      <c r="K65" s="190"/>
      <c r="L65" s="190"/>
      <c r="M65" s="190"/>
      <c r="N65" s="192"/>
      <c r="O65" s="278"/>
      <c r="P65" s="305">
        <v>1</v>
      </c>
      <c r="Q65" s="309"/>
      <c r="R65" s="305">
        <v>1</v>
      </c>
      <c r="S65" s="309"/>
      <c r="T65" s="305">
        <v>1</v>
      </c>
      <c r="U65" s="309"/>
      <c r="V65" s="305">
        <v>1</v>
      </c>
      <c r="W65" s="309"/>
      <c r="X65" s="305">
        <v>1</v>
      </c>
      <c r="Y65" s="309"/>
      <c r="Z65" s="305">
        <v>1</v>
      </c>
      <c r="AA65" s="319"/>
      <c r="AB65" s="305">
        <v>1</v>
      </c>
      <c r="AC65" s="322"/>
      <c r="AD65" s="305">
        <v>1</v>
      </c>
      <c r="AE65" s="322"/>
      <c r="AF65" s="305">
        <v>1</v>
      </c>
      <c r="AG65" s="322"/>
      <c r="AH65" s="296"/>
      <c r="AI65" s="267"/>
      <c r="AJ65" s="267"/>
      <c r="AK65" s="264"/>
    </row>
    <row r="66" spans="1:41" s="262" customFormat="1" ht="97.5" customHeight="1">
      <c r="A66" s="576"/>
      <c r="B66" s="257" t="s">
        <v>404</v>
      </c>
      <c r="C66" s="258" t="s">
        <v>405</v>
      </c>
      <c r="D66" s="197"/>
      <c r="E66" s="197"/>
      <c r="F66" s="197"/>
      <c r="G66" s="197"/>
      <c r="H66" s="197"/>
      <c r="I66" s="197"/>
      <c r="J66" s="190"/>
      <c r="K66" s="190"/>
      <c r="L66" s="190"/>
      <c r="M66" s="190"/>
      <c r="N66" s="192"/>
      <c r="O66" s="278"/>
      <c r="P66" s="306"/>
      <c r="Q66" s="307"/>
      <c r="R66" s="305"/>
      <c r="S66" s="307"/>
      <c r="T66" s="306"/>
      <c r="U66" s="307"/>
      <c r="V66" s="306">
        <v>1</v>
      </c>
      <c r="W66" s="307"/>
      <c r="X66" s="306"/>
      <c r="Y66" s="307"/>
      <c r="Z66" s="305"/>
      <c r="AA66" s="318"/>
      <c r="AB66" s="322"/>
      <c r="AC66" s="322"/>
      <c r="AD66" s="322"/>
      <c r="AE66" s="322"/>
      <c r="AF66" s="322"/>
      <c r="AG66" s="322"/>
      <c r="AH66" s="297" t="s">
        <v>991</v>
      </c>
      <c r="AI66" s="275"/>
      <c r="AJ66" s="275"/>
      <c r="AK66" s="275"/>
      <c r="AL66" s="275"/>
      <c r="AM66" s="275"/>
      <c r="AN66" s="275"/>
      <c r="AO66" s="275"/>
    </row>
    <row r="67" spans="1:41" s="262" customFormat="1" ht="39" customHeight="1">
      <c r="A67" s="576"/>
      <c r="B67" s="257" t="s">
        <v>406</v>
      </c>
      <c r="C67" s="258" t="s">
        <v>407</v>
      </c>
      <c r="D67" s="197"/>
      <c r="E67" s="197"/>
      <c r="F67" s="197"/>
      <c r="G67" s="197"/>
      <c r="H67" s="197"/>
      <c r="I67" s="197"/>
      <c r="J67" s="190"/>
      <c r="K67" s="190"/>
      <c r="L67" s="190"/>
      <c r="M67" s="190"/>
      <c r="N67" s="192"/>
      <c r="O67" s="278"/>
      <c r="P67" s="306"/>
      <c r="Q67" s="307"/>
      <c r="R67" s="306"/>
      <c r="S67" s="307"/>
      <c r="T67" s="305"/>
      <c r="U67" s="307"/>
      <c r="V67" s="306"/>
      <c r="W67" s="307"/>
      <c r="X67" s="306"/>
      <c r="Y67" s="307"/>
      <c r="Z67" s="306"/>
      <c r="AA67" s="318"/>
      <c r="AB67" s="322"/>
      <c r="AC67" s="322"/>
      <c r="AD67" s="322"/>
      <c r="AE67" s="322"/>
      <c r="AF67" s="322"/>
      <c r="AG67" s="322"/>
      <c r="AH67" s="297" t="s">
        <v>1022</v>
      </c>
      <c r="AI67" s="260"/>
      <c r="AJ67" s="260"/>
      <c r="AK67" s="264"/>
    </row>
    <row r="68" spans="1:41" s="262" customFormat="1" ht="39" customHeight="1">
      <c r="A68" s="576"/>
      <c r="B68" s="257" t="s">
        <v>1039</v>
      </c>
      <c r="C68" s="258" t="s">
        <v>1040</v>
      </c>
      <c r="D68" s="197"/>
      <c r="E68" s="197"/>
      <c r="F68" s="197"/>
      <c r="G68" s="197"/>
      <c r="H68" s="197"/>
      <c r="I68" s="197"/>
      <c r="J68" s="190"/>
      <c r="K68" s="190"/>
      <c r="L68" s="190"/>
      <c r="M68" s="190"/>
      <c r="N68" s="192"/>
      <c r="O68" s="278"/>
      <c r="P68" s="306">
        <v>1</v>
      </c>
      <c r="Q68" s="307"/>
      <c r="R68" s="306"/>
      <c r="S68" s="307"/>
      <c r="T68" s="305"/>
      <c r="U68" s="307"/>
      <c r="V68" s="306">
        <v>1</v>
      </c>
      <c r="W68" s="307"/>
      <c r="X68" s="306"/>
      <c r="Y68" s="307"/>
      <c r="Z68" s="306"/>
      <c r="AA68" s="318"/>
      <c r="AB68" s="306">
        <v>1</v>
      </c>
      <c r="AC68" s="322"/>
      <c r="AD68" s="322"/>
      <c r="AE68" s="322"/>
      <c r="AF68" s="322"/>
      <c r="AG68" s="322"/>
      <c r="AH68" s="297"/>
      <c r="AI68" s="267"/>
      <c r="AJ68" s="267"/>
      <c r="AK68" s="264"/>
    </row>
    <row r="69" spans="1:41" s="262" customFormat="1" ht="39" customHeight="1">
      <c r="A69" s="576"/>
      <c r="B69" s="257" t="s">
        <v>408</v>
      </c>
      <c r="C69" s="258" t="s">
        <v>409</v>
      </c>
      <c r="D69" s="197"/>
      <c r="E69" s="197"/>
      <c r="F69" s="197"/>
      <c r="G69" s="197"/>
      <c r="H69" s="197"/>
      <c r="I69" s="197"/>
      <c r="J69" s="190"/>
      <c r="K69" s="190"/>
      <c r="L69" s="190"/>
      <c r="M69" s="190"/>
      <c r="N69" s="192"/>
      <c r="O69" s="278"/>
      <c r="P69" s="305">
        <v>1</v>
      </c>
      <c r="Q69" s="309"/>
      <c r="R69" s="305">
        <v>1</v>
      </c>
      <c r="S69" s="309"/>
      <c r="T69" s="305">
        <v>1</v>
      </c>
      <c r="U69" s="309"/>
      <c r="V69" s="305">
        <v>1</v>
      </c>
      <c r="W69" s="309"/>
      <c r="X69" s="305">
        <v>1</v>
      </c>
      <c r="Y69" s="309"/>
      <c r="Z69" s="305">
        <v>1</v>
      </c>
      <c r="AA69" s="319"/>
      <c r="AB69" s="305">
        <v>1</v>
      </c>
      <c r="AC69" s="322"/>
      <c r="AD69" s="305">
        <v>1</v>
      </c>
      <c r="AE69" s="322"/>
      <c r="AF69" s="305">
        <v>1</v>
      </c>
      <c r="AG69" s="322"/>
      <c r="AH69" s="297" t="s">
        <v>992</v>
      </c>
      <c r="AI69" s="260"/>
      <c r="AJ69" s="260"/>
      <c r="AK69" s="264"/>
    </row>
    <row r="70" spans="1:41" s="262" customFormat="1" ht="39" customHeight="1">
      <c r="A70" s="576"/>
      <c r="B70" s="257" t="s">
        <v>410</v>
      </c>
      <c r="C70" s="258" t="s">
        <v>388</v>
      </c>
      <c r="D70" s="197"/>
      <c r="E70" s="197"/>
      <c r="F70" s="197"/>
      <c r="G70" s="197"/>
      <c r="H70" s="197"/>
      <c r="I70" s="197"/>
      <c r="J70" s="190"/>
      <c r="K70" s="190"/>
      <c r="L70" s="190"/>
      <c r="M70" s="190"/>
      <c r="N70" s="192"/>
      <c r="O70" s="278"/>
      <c r="P70" s="306">
        <v>1</v>
      </c>
      <c r="Q70" s="307"/>
      <c r="R70" s="305"/>
      <c r="S70" s="307"/>
      <c r="T70" s="306"/>
      <c r="U70" s="307"/>
      <c r="V70" s="306"/>
      <c r="W70" s="307"/>
      <c r="X70" s="306"/>
      <c r="Y70" s="307"/>
      <c r="Z70" s="306"/>
      <c r="AA70" s="318"/>
      <c r="AB70" s="322"/>
      <c r="AC70" s="322"/>
      <c r="AD70" s="322"/>
      <c r="AE70" s="322"/>
      <c r="AF70" s="322"/>
      <c r="AG70" s="322"/>
      <c r="AH70" s="297" t="s">
        <v>984</v>
      </c>
      <c r="AI70" s="260"/>
      <c r="AJ70" s="260"/>
      <c r="AK70" s="264"/>
    </row>
    <row r="71" spans="1:41" s="262" customFormat="1" ht="39" customHeight="1">
      <c r="A71" s="576"/>
      <c r="B71" s="257" t="s">
        <v>411</v>
      </c>
      <c r="C71" s="258" t="s">
        <v>412</v>
      </c>
      <c r="D71" s="190"/>
      <c r="E71" s="190"/>
      <c r="F71" s="190"/>
      <c r="G71" s="190"/>
      <c r="H71" s="190"/>
      <c r="I71" s="190"/>
      <c r="J71" s="190"/>
      <c r="K71" s="190"/>
      <c r="L71" s="190"/>
      <c r="M71" s="190"/>
      <c r="N71" s="192"/>
      <c r="O71" s="278"/>
      <c r="P71" s="305"/>
      <c r="Q71" s="307"/>
      <c r="R71" s="305">
        <v>1</v>
      </c>
      <c r="S71" s="307"/>
      <c r="T71" s="305"/>
      <c r="U71" s="307"/>
      <c r="V71" s="305">
        <v>1</v>
      </c>
      <c r="W71" s="307"/>
      <c r="X71" s="305"/>
      <c r="Y71" s="307"/>
      <c r="Z71" s="305">
        <v>1</v>
      </c>
      <c r="AA71" s="318"/>
      <c r="AB71" s="322"/>
      <c r="AC71" s="322"/>
      <c r="AD71" s="305">
        <v>1</v>
      </c>
      <c r="AE71" s="322"/>
      <c r="AF71" s="322"/>
      <c r="AG71" s="322"/>
      <c r="AH71" s="297" t="s">
        <v>1023</v>
      </c>
      <c r="AI71" s="260"/>
      <c r="AJ71" s="260"/>
      <c r="AK71" s="264"/>
    </row>
    <row r="72" spans="1:41" s="262" customFormat="1" ht="39" customHeight="1">
      <c r="A72" s="576"/>
      <c r="B72" s="257" t="s">
        <v>413</v>
      </c>
      <c r="C72" s="258" t="s">
        <v>412</v>
      </c>
      <c r="D72" s="197"/>
      <c r="E72" s="197"/>
      <c r="F72" s="197"/>
      <c r="G72" s="197"/>
      <c r="H72" s="197"/>
      <c r="I72" s="197"/>
      <c r="J72" s="190"/>
      <c r="K72" s="190"/>
      <c r="L72" s="190"/>
      <c r="M72" s="190"/>
      <c r="N72" s="192"/>
      <c r="O72" s="278"/>
      <c r="P72" s="305"/>
      <c r="Q72" s="307"/>
      <c r="R72" s="305">
        <v>1</v>
      </c>
      <c r="S72" s="307"/>
      <c r="T72" s="305"/>
      <c r="U72" s="307"/>
      <c r="V72" s="305">
        <v>1</v>
      </c>
      <c r="W72" s="307"/>
      <c r="X72" s="305"/>
      <c r="Y72" s="307"/>
      <c r="Z72" s="305">
        <v>1</v>
      </c>
      <c r="AA72" s="318"/>
      <c r="AB72" s="322"/>
      <c r="AC72" s="322"/>
      <c r="AD72" s="305">
        <v>1</v>
      </c>
      <c r="AE72" s="322"/>
      <c r="AF72" s="322"/>
      <c r="AG72" s="322"/>
      <c r="AH72" s="296"/>
      <c r="AI72" s="260"/>
      <c r="AJ72" s="260"/>
      <c r="AK72" s="264"/>
    </row>
    <row r="73" spans="1:41" s="262" customFormat="1" ht="39" customHeight="1">
      <c r="A73" s="576"/>
      <c r="B73" s="257" t="s">
        <v>414</v>
      </c>
      <c r="C73" s="258" t="s">
        <v>412</v>
      </c>
      <c r="D73" s="325"/>
      <c r="E73" s="325"/>
      <c r="F73" s="325"/>
      <c r="G73" s="325"/>
      <c r="H73" s="325"/>
      <c r="I73" s="325"/>
      <c r="J73" s="338"/>
      <c r="K73" s="338"/>
      <c r="L73" s="338"/>
      <c r="M73" s="338"/>
      <c r="N73" s="326"/>
      <c r="O73" s="339"/>
      <c r="P73" s="305"/>
      <c r="Q73" s="307"/>
      <c r="R73" s="305">
        <v>1</v>
      </c>
      <c r="S73" s="307"/>
      <c r="T73" s="305"/>
      <c r="U73" s="307"/>
      <c r="V73" s="305">
        <v>1</v>
      </c>
      <c r="W73" s="307"/>
      <c r="X73" s="305"/>
      <c r="Y73" s="307"/>
      <c r="Z73" s="305">
        <v>1</v>
      </c>
      <c r="AA73" s="318"/>
      <c r="AB73" s="322"/>
      <c r="AC73" s="322"/>
      <c r="AD73" s="305">
        <v>1</v>
      </c>
      <c r="AE73" s="322"/>
      <c r="AF73" s="322"/>
      <c r="AG73" s="322"/>
      <c r="AH73" s="296"/>
      <c r="AI73" s="260"/>
      <c r="AJ73" s="260"/>
      <c r="AK73" s="264"/>
    </row>
    <row r="74" spans="1:41" s="262" customFormat="1" ht="39" customHeight="1">
      <c r="A74" s="576"/>
      <c r="B74" s="257" t="s">
        <v>415</v>
      </c>
      <c r="C74" s="258" t="s">
        <v>416</v>
      </c>
      <c r="D74" s="197"/>
      <c r="E74" s="197"/>
      <c r="F74" s="197"/>
      <c r="G74" s="197"/>
      <c r="H74" s="197"/>
      <c r="I74" s="197"/>
      <c r="J74" s="190"/>
      <c r="K74" s="190"/>
      <c r="L74" s="190"/>
      <c r="M74" s="190"/>
      <c r="N74" s="192"/>
      <c r="O74" s="278"/>
      <c r="P74" s="305">
        <v>1</v>
      </c>
      <c r="Q74" s="309"/>
      <c r="R74" s="305">
        <v>1</v>
      </c>
      <c r="S74" s="309"/>
      <c r="T74" s="305">
        <v>1</v>
      </c>
      <c r="U74" s="309"/>
      <c r="V74" s="305">
        <v>1</v>
      </c>
      <c r="W74" s="309"/>
      <c r="X74" s="305">
        <v>1</v>
      </c>
      <c r="Y74" s="309"/>
      <c r="Z74" s="305">
        <v>1</v>
      </c>
      <c r="AA74" s="319"/>
      <c r="AB74" s="305">
        <v>1</v>
      </c>
      <c r="AC74" s="322"/>
      <c r="AD74" s="305">
        <v>1</v>
      </c>
      <c r="AE74" s="322"/>
      <c r="AF74" s="305">
        <v>1</v>
      </c>
      <c r="AG74" s="322"/>
      <c r="AH74" s="297" t="s">
        <v>993</v>
      </c>
      <c r="AI74" s="260"/>
      <c r="AJ74" s="260"/>
      <c r="AK74" s="264"/>
    </row>
    <row r="75" spans="1:41" s="262" customFormat="1" ht="39" customHeight="1">
      <c r="A75" s="576"/>
      <c r="B75" s="257" t="s">
        <v>417</v>
      </c>
      <c r="C75" s="258" t="s">
        <v>416</v>
      </c>
      <c r="D75" s="197"/>
      <c r="E75" s="197"/>
      <c r="F75" s="197"/>
      <c r="G75" s="197"/>
      <c r="H75" s="197"/>
      <c r="I75" s="197"/>
      <c r="J75" s="190"/>
      <c r="K75" s="190"/>
      <c r="L75" s="190"/>
      <c r="M75" s="190"/>
      <c r="N75" s="192"/>
      <c r="O75" s="278"/>
      <c r="P75" s="305">
        <v>1</v>
      </c>
      <c r="Q75" s="309"/>
      <c r="R75" s="305">
        <v>1</v>
      </c>
      <c r="S75" s="309"/>
      <c r="T75" s="305">
        <v>1</v>
      </c>
      <c r="U75" s="309"/>
      <c r="V75" s="305">
        <v>1</v>
      </c>
      <c r="W75" s="309"/>
      <c r="X75" s="305">
        <v>1</v>
      </c>
      <c r="Y75" s="309"/>
      <c r="Z75" s="305">
        <v>1</v>
      </c>
      <c r="AA75" s="319"/>
      <c r="AB75" s="305">
        <v>1</v>
      </c>
      <c r="AC75" s="322"/>
      <c r="AD75" s="305">
        <v>1</v>
      </c>
      <c r="AE75" s="322"/>
      <c r="AF75" s="305">
        <v>1</v>
      </c>
      <c r="AG75" s="322"/>
      <c r="AH75" s="297" t="s">
        <v>994</v>
      </c>
      <c r="AI75" s="260"/>
      <c r="AJ75" s="260"/>
      <c r="AK75" s="264"/>
    </row>
    <row r="76" spans="1:41" s="262" customFormat="1" ht="78" customHeight="1">
      <c r="A76" s="576"/>
      <c r="B76" s="257" t="s">
        <v>418</v>
      </c>
      <c r="C76" s="258" t="s">
        <v>419</v>
      </c>
      <c r="D76" s="197"/>
      <c r="E76" s="197"/>
      <c r="F76" s="197"/>
      <c r="G76" s="197"/>
      <c r="H76" s="197"/>
      <c r="I76" s="197"/>
      <c r="J76" s="190"/>
      <c r="K76" s="190"/>
      <c r="L76" s="190"/>
      <c r="M76" s="190"/>
      <c r="N76" s="192"/>
      <c r="O76" s="278"/>
      <c r="P76" s="306">
        <v>1</v>
      </c>
      <c r="Q76" s="307"/>
      <c r="R76" s="305"/>
      <c r="S76" s="307"/>
      <c r="T76" s="306"/>
      <c r="U76" s="307"/>
      <c r="V76" s="306"/>
      <c r="W76" s="307"/>
      <c r="X76" s="306"/>
      <c r="Y76" s="307"/>
      <c r="Z76" s="306"/>
      <c r="AA76" s="318"/>
      <c r="AB76" s="322"/>
      <c r="AC76" s="322"/>
      <c r="AD76" s="322"/>
      <c r="AE76" s="322"/>
      <c r="AF76" s="322"/>
      <c r="AG76" s="322"/>
      <c r="AH76" s="296"/>
      <c r="AI76" s="260"/>
      <c r="AJ76" s="260"/>
      <c r="AK76" s="264"/>
    </row>
    <row r="77" spans="1:41" ht="20.25" customHeight="1">
      <c r="A77" s="575"/>
      <c r="B77" s="193" t="s">
        <v>420</v>
      </c>
      <c r="C77" s="96" t="s">
        <v>1041</v>
      </c>
      <c r="D77" s="197"/>
      <c r="E77" s="197"/>
      <c r="F77" s="197"/>
      <c r="G77" s="197"/>
      <c r="H77" s="197"/>
      <c r="I77" s="197"/>
      <c r="J77" s="190"/>
      <c r="K77" s="190"/>
      <c r="L77" s="190"/>
      <c r="M77" s="190"/>
      <c r="N77" s="192"/>
      <c r="O77" s="278"/>
      <c r="P77" s="305">
        <v>1</v>
      </c>
      <c r="Q77" s="309"/>
      <c r="R77" s="305">
        <v>1</v>
      </c>
      <c r="S77" s="309"/>
      <c r="T77" s="305">
        <v>1</v>
      </c>
      <c r="U77" s="309"/>
      <c r="V77" s="305">
        <v>1</v>
      </c>
      <c r="W77" s="309"/>
      <c r="X77" s="305">
        <v>1</v>
      </c>
      <c r="Y77" s="309"/>
      <c r="Z77" s="305">
        <v>1</v>
      </c>
      <c r="AA77" s="319"/>
      <c r="AB77" s="305">
        <v>1</v>
      </c>
      <c r="AC77" s="322"/>
      <c r="AD77" s="305">
        <v>1</v>
      </c>
      <c r="AE77" s="322"/>
      <c r="AF77" s="305">
        <v>1</v>
      </c>
      <c r="AG77" s="322"/>
      <c r="AH77" s="295"/>
      <c r="AI77" s="8"/>
      <c r="AJ77" s="8"/>
      <c r="AK77" s="9"/>
    </row>
    <row r="78" spans="1:41" ht="39" customHeight="1">
      <c r="A78" s="575"/>
      <c r="B78" s="200" t="s">
        <v>421</v>
      </c>
      <c r="C78" s="96" t="s">
        <v>374</v>
      </c>
      <c r="D78" s="197"/>
      <c r="E78" s="197"/>
      <c r="F78" s="197"/>
      <c r="G78" s="197"/>
      <c r="H78" s="197"/>
      <c r="I78" s="197"/>
      <c r="J78" s="190"/>
      <c r="K78" s="190"/>
      <c r="L78" s="190"/>
      <c r="M78" s="190"/>
      <c r="N78" s="192"/>
      <c r="O78" s="278"/>
      <c r="P78" s="305">
        <v>1</v>
      </c>
      <c r="Q78" s="309"/>
      <c r="R78" s="305">
        <v>1</v>
      </c>
      <c r="S78" s="309"/>
      <c r="T78" s="305">
        <v>1</v>
      </c>
      <c r="U78" s="309"/>
      <c r="V78" s="305">
        <v>1</v>
      </c>
      <c r="W78" s="309"/>
      <c r="X78" s="305">
        <v>1</v>
      </c>
      <c r="Y78" s="309"/>
      <c r="Z78" s="305">
        <v>1</v>
      </c>
      <c r="AA78" s="319"/>
      <c r="AB78" s="305">
        <v>1</v>
      </c>
      <c r="AC78" s="322"/>
      <c r="AD78" s="305">
        <v>1</v>
      </c>
      <c r="AE78" s="322"/>
      <c r="AF78" s="305">
        <v>1</v>
      </c>
      <c r="AG78" s="322"/>
      <c r="AH78" s="295"/>
      <c r="AI78" s="8"/>
      <c r="AJ78" s="8"/>
      <c r="AK78" s="9"/>
    </row>
    <row r="79" spans="1:41" ht="55.5" customHeight="1">
      <c r="A79" s="575"/>
      <c r="B79" s="200" t="s">
        <v>422</v>
      </c>
      <c r="C79" s="96" t="s">
        <v>423</v>
      </c>
      <c r="D79" s="197"/>
      <c r="E79" s="197"/>
      <c r="F79" s="197"/>
      <c r="G79" s="197"/>
      <c r="H79" s="197"/>
      <c r="I79" s="197"/>
      <c r="J79" s="190"/>
      <c r="K79" s="197"/>
      <c r="L79" s="197"/>
      <c r="M79" s="197"/>
      <c r="N79" s="192"/>
      <c r="O79" s="273"/>
      <c r="P79" s="305">
        <v>1</v>
      </c>
      <c r="Q79" s="309"/>
      <c r="R79" s="305">
        <v>1</v>
      </c>
      <c r="S79" s="309"/>
      <c r="T79" s="305">
        <v>1</v>
      </c>
      <c r="U79" s="309"/>
      <c r="V79" s="305">
        <v>1</v>
      </c>
      <c r="W79" s="309"/>
      <c r="X79" s="305">
        <v>1</v>
      </c>
      <c r="Y79" s="309"/>
      <c r="Z79" s="305">
        <v>1</v>
      </c>
      <c r="AA79" s="319"/>
      <c r="AB79" s="305">
        <v>1</v>
      </c>
      <c r="AC79" s="322"/>
      <c r="AD79" s="305">
        <v>1</v>
      </c>
      <c r="AE79" s="322"/>
      <c r="AF79" s="305">
        <v>1</v>
      </c>
      <c r="AG79" s="322"/>
      <c r="AH79" s="295"/>
      <c r="AI79" s="8"/>
      <c r="AJ79" s="8"/>
      <c r="AK79" s="9"/>
    </row>
    <row r="80" spans="1:41" ht="55.5" customHeight="1">
      <c r="A80" s="575"/>
      <c r="B80" s="200" t="s">
        <v>424</v>
      </c>
      <c r="C80" s="96" t="s">
        <v>425</v>
      </c>
      <c r="D80" s="197"/>
      <c r="E80" s="197"/>
      <c r="F80" s="197"/>
      <c r="G80" s="197"/>
      <c r="H80" s="197"/>
      <c r="I80" s="197"/>
      <c r="J80" s="190"/>
      <c r="K80" s="190"/>
      <c r="L80" s="190"/>
      <c r="M80" s="190"/>
      <c r="N80" s="192"/>
      <c r="O80" s="278"/>
      <c r="P80" s="305"/>
      <c r="Q80" s="307"/>
      <c r="R80" s="306"/>
      <c r="S80" s="307"/>
      <c r="T80" s="306">
        <v>1</v>
      </c>
      <c r="U80" s="307"/>
      <c r="V80" s="306"/>
      <c r="W80" s="309"/>
      <c r="X80" s="306"/>
      <c r="Y80" s="309"/>
      <c r="Z80" s="305"/>
      <c r="AA80" s="319"/>
      <c r="AB80" s="322"/>
      <c r="AC80" s="322"/>
      <c r="AD80" s="322"/>
      <c r="AE80" s="322"/>
      <c r="AF80" s="322"/>
      <c r="AG80" s="301"/>
      <c r="AH80" s="291" t="s">
        <v>995</v>
      </c>
      <c r="AI80" s="8"/>
      <c r="AJ80" s="8"/>
      <c r="AK80" s="9"/>
    </row>
    <row r="81" spans="1:41" ht="55.5" customHeight="1">
      <c r="A81" s="575"/>
      <c r="B81" s="200" t="s">
        <v>426</v>
      </c>
      <c r="C81" s="96" t="s">
        <v>427</v>
      </c>
      <c r="D81" s="197"/>
      <c r="E81" s="197"/>
      <c r="F81" s="197"/>
      <c r="G81" s="197"/>
      <c r="H81" s="197"/>
      <c r="I81" s="197"/>
      <c r="J81" s="190"/>
      <c r="K81" s="190"/>
      <c r="L81" s="190"/>
      <c r="M81" s="190"/>
      <c r="N81" s="192"/>
      <c r="O81" s="278"/>
      <c r="P81" s="305">
        <v>1</v>
      </c>
      <c r="Q81" s="309"/>
      <c r="R81" s="305">
        <v>1</v>
      </c>
      <c r="S81" s="309"/>
      <c r="T81" s="305">
        <v>1</v>
      </c>
      <c r="U81" s="309"/>
      <c r="V81" s="305">
        <v>1</v>
      </c>
      <c r="W81" s="309"/>
      <c r="X81" s="305">
        <v>1</v>
      </c>
      <c r="Y81" s="309"/>
      <c r="Z81" s="305">
        <v>1</v>
      </c>
      <c r="AA81" s="319"/>
      <c r="AB81" s="305">
        <v>1</v>
      </c>
      <c r="AC81" s="322"/>
      <c r="AD81" s="305">
        <v>1</v>
      </c>
      <c r="AE81" s="322"/>
      <c r="AF81" s="305">
        <v>1</v>
      </c>
      <c r="AG81" s="322"/>
      <c r="AH81" s="295"/>
      <c r="AI81" s="8"/>
      <c r="AJ81" s="8"/>
      <c r="AK81" s="9"/>
    </row>
    <row r="82" spans="1:41" ht="78" customHeight="1">
      <c r="A82" s="575"/>
      <c r="B82" s="200" t="s">
        <v>428</v>
      </c>
      <c r="C82" s="96" t="s">
        <v>423</v>
      </c>
      <c r="D82" s="197"/>
      <c r="E82" s="197"/>
      <c r="F82" s="197"/>
      <c r="G82" s="197"/>
      <c r="H82" s="197"/>
      <c r="I82" s="197"/>
      <c r="J82" s="190"/>
      <c r="K82" s="190"/>
      <c r="L82" s="190"/>
      <c r="M82" s="190"/>
      <c r="N82" s="192"/>
      <c r="O82" s="278"/>
      <c r="P82" s="305">
        <v>1</v>
      </c>
      <c r="Q82" s="309"/>
      <c r="R82" s="305">
        <v>1</v>
      </c>
      <c r="S82" s="309"/>
      <c r="T82" s="305">
        <v>1</v>
      </c>
      <c r="U82" s="309"/>
      <c r="V82" s="305">
        <v>1</v>
      </c>
      <c r="W82" s="309"/>
      <c r="X82" s="305">
        <v>1</v>
      </c>
      <c r="Y82" s="309"/>
      <c r="Z82" s="305">
        <v>1</v>
      </c>
      <c r="AA82" s="319"/>
      <c r="AB82" s="305">
        <v>1</v>
      </c>
      <c r="AC82" s="322"/>
      <c r="AD82" s="305">
        <v>1</v>
      </c>
      <c r="AE82" s="322"/>
      <c r="AF82" s="305">
        <v>1</v>
      </c>
      <c r="AG82" s="322"/>
      <c r="AH82" s="295"/>
      <c r="AI82" s="8"/>
      <c r="AJ82" s="8"/>
      <c r="AK82" s="9"/>
    </row>
    <row r="83" spans="1:41" s="262" customFormat="1" ht="49.5" customHeight="1">
      <c r="A83" s="576"/>
      <c r="B83" s="265" t="s">
        <v>429</v>
      </c>
      <c r="C83" s="258" t="s">
        <v>430</v>
      </c>
      <c r="D83" s="197"/>
      <c r="E83" s="197"/>
      <c r="F83" s="197"/>
      <c r="G83" s="197"/>
      <c r="H83" s="197"/>
      <c r="I83" s="197"/>
      <c r="J83" s="190"/>
      <c r="K83" s="190"/>
      <c r="L83" s="190"/>
      <c r="M83" s="190"/>
      <c r="N83" s="192"/>
      <c r="O83" s="278"/>
      <c r="P83" s="305">
        <v>1</v>
      </c>
      <c r="Q83" s="309"/>
      <c r="R83" s="305">
        <v>1</v>
      </c>
      <c r="S83" s="309"/>
      <c r="T83" s="305">
        <v>1</v>
      </c>
      <c r="U83" s="309"/>
      <c r="V83" s="305">
        <v>1</v>
      </c>
      <c r="W83" s="309"/>
      <c r="X83" s="305">
        <v>1</v>
      </c>
      <c r="Y83" s="309"/>
      <c r="Z83" s="305">
        <v>1</v>
      </c>
      <c r="AA83" s="319"/>
      <c r="AB83" s="305">
        <v>1</v>
      </c>
      <c r="AC83" s="322"/>
      <c r="AD83" s="305">
        <v>1</v>
      </c>
      <c r="AE83" s="322"/>
      <c r="AF83" s="305">
        <v>1</v>
      </c>
      <c r="AG83" s="322"/>
      <c r="AH83" s="297" t="s">
        <v>1024</v>
      </c>
      <c r="AI83" s="260"/>
      <c r="AJ83" s="260"/>
      <c r="AK83" s="264"/>
    </row>
    <row r="84" spans="1:41" ht="39" customHeight="1">
      <c r="A84" s="575"/>
      <c r="B84" s="200" t="s">
        <v>431</v>
      </c>
      <c r="C84" s="96" t="s">
        <v>432</v>
      </c>
      <c r="D84" s="197"/>
      <c r="E84" s="197"/>
      <c r="F84" s="197"/>
      <c r="G84" s="197"/>
      <c r="H84" s="197"/>
      <c r="I84" s="197"/>
      <c r="J84" s="190"/>
      <c r="K84" s="190"/>
      <c r="L84" s="190"/>
      <c r="M84" s="190"/>
      <c r="N84" s="192"/>
      <c r="O84" s="278"/>
      <c r="P84" s="305">
        <v>1</v>
      </c>
      <c r="Q84" s="309"/>
      <c r="R84" s="305">
        <v>1</v>
      </c>
      <c r="S84" s="309"/>
      <c r="T84" s="305">
        <v>1</v>
      </c>
      <c r="U84" s="309"/>
      <c r="V84" s="305">
        <v>1</v>
      </c>
      <c r="W84" s="309"/>
      <c r="X84" s="305">
        <v>1</v>
      </c>
      <c r="Y84" s="309"/>
      <c r="Z84" s="305">
        <v>1</v>
      </c>
      <c r="AA84" s="319"/>
      <c r="AB84" s="305">
        <v>1</v>
      </c>
      <c r="AC84" s="322"/>
      <c r="AD84" s="305">
        <v>1</v>
      </c>
      <c r="AE84" s="322"/>
      <c r="AF84" s="305">
        <v>1</v>
      </c>
      <c r="AG84" s="322"/>
      <c r="AH84" s="291" t="s">
        <v>996</v>
      </c>
      <c r="AI84" s="268"/>
      <c r="AJ84" s="268"/>
      <c r="AK84" s="268"/>
      <c r="AL84" s="268"/>
      <c r="AM84" s="268"/>
      <c r="AN84" s="268"/>
      <c r="AO84" s="268"/>
    </row>
    <row r="85" spans="1:41" ht="42.65" customHeight="1">
      <c r="A85" s="575"/>
      <c r="B85" s="200" t="s">
        <v>1042</v>
      </c>
      <c r="C85" s="96" t="s">
        <v>433</v>
      </c>
      <c r="D85" s="197"/>
      <c r="E85" s="197"/>
      <c r="F85" s="197"/>
      <c r="G85" s="197"/>
      <c r="H85" s="197"/>
      <c r="I85" s="197"/>
      <c r="J85" s="190"/>
      <c r="K85" s="190"/>
      <c r="L85" s="190"/>
      <c r="M85" s="190"/>
      <c r="N85" s="192"/>
      <c r="O85" s="278"/>
      <c r="P85" s="300"/>
      <c r="Q85" s="308"/>
      <c r="R85" s="300"/>
      <c r="S85" s="308"/>
      <c r="T85" s="300">
        <v>1</v>
      </c>
      <c r="U85" s="308"/>
      <c r="V85" s="305"/>
      <c r="W85" s="308"/>
      <c r="X85" s="300"/>
      <c r="Y85" s="308"/>
      <c r="Z85" s="300"/>
      <c r="AA85" s="320"/>
      <c r="AB85" s="301"/>
      <c r="AC85" s="301"/>
      <c r="AD85" s="301"/>
      <c r="AE85" s="301"/>
      <c r="AF85" s="301"/>
      <c r="AG85" s="301"/>
      <c r="AH85" s="291" t="s">
        <v>997</v>
      </c>
      <c r="AI85" s="8"/>
      <c r="AJ85" s="8"/>
      <c r="AK85" s="9"/>
    </row>
    <row r="86" spans="1:41" ht="28.5">
      <c r="A86" s="575"/>
      <c r="B86" s="200" t="s">
        <v>434</v>
      </c>
      <c r="C86" s="96" t="s">
        <v>433</v>
      </c>
      <c r="D86" s="197"/>
      <c r="E86" s="197"/>
      <c r="F86" s="197"/>
      <c r="G86" s="197"/>
      <c r="H86" s="197"/>
      <c r="I86" s="197"/>
      <c r="J86" s="190"/>
      <c r="K86" s="190"/>
      <c r="L86" s="190"/>
      <c r="M86" s="190"/>
      <c r="N86" s="192"/>
      <c r="O86" s="278"/>
      <c r="P86" s="305">
        <v>1</v>
      </c>
      <c r="Q86" s="309"/>
      <c r="R86" s="305">
        <v>1</v>
      </c>
      <c r="S86" s="309"/>
      <c r="T86" s="305">
        <v>1</v>
      </c>
      <c r="U86" s="309"/>
      <c r="V86" s="305">
        <v>1</v>
      </c>
      <c r="W86" s="309"/>
      <c r="X86" s="305">
        <v>1</v>
      </c>
      <c r="Y86" s="309"/>
      <c r="Z86" s="305">
        <v>1</v>
      </c>
      <c r="AA86" s="319"/>
      <c r="AB86" s="305">
        <v>1</v>
      </c>
      <c r="AC86" s="322"/>
      <c r="AD86" s="305">
        <v>1</v>
      </c>
      <c r="AE86" s="322"/>
      <c r="AF86" s="305">
        <v>1</v>
      </c>
      <c r="AG86" s="322"/>
      <c r="AH86" s="295" t="s">
        <v>1025</v>
      </c>
      <c r="AI86" s="8"/>
      <c r="AJ86" s="8"/>
      <c r="AK86" s="9"/>
    </row>
    <row r="87" spans="1:41" ht="53.15" customHeight="1">
      <c r="A87" s="575"/>
      <c r="B87" s="200" t="s">
        <v>1043</v>
      </c>
      <c r="C87" s="96" t="s">
        <v>433</v>
      </c>
      <c r="D87" s="197"/>
      <c r="E87" s="197"/>
      <c r="F87" s="197"/>
      <c r="G87" s="197"/>
      <c r="H87" s="197"/>
      <c r="I87" s="197"/>
      <c r="J87" s="190"/>
      <c r="K87" s="190"/>
      <c r="L87" s="190"/>
      <c r="M87" s="190"/>
      <c r="N87" s="192"/>
      <c r="O87" s="278"/>
      <c r="P87" s="305">
        <v>1</v>
      </c>
      <c r="Q87" s="307"/>
      <c r="R87" s="305"/>
      <c r="S87" s="307"/>
      <c r="T87" s="305"/>
      <c r="U87" s="307"/>
      <c r="V87" s="305"/>
      <c r="W87" s="307"/>
      <c r="X87" s="305"/>
      <c r="Y87" s="307"/>
      <c r="Z87" s="305"/>
      <c r="AA87" s="340"/>
      <c r="AB87" s="322"/>
      <c r="AC87" s="322"/>
      <c r="AD87" s="301"/>
      <c r="AE87" s="301"/>
      <c r="AF87" s="301"/>
      <c r="AG87" s="301"/>
      <c r="AH87" s="295" t="s">
        <v>1026</v>
      </c>
      <c r="AI87" s="8"/>
      <c r="AJ87" s="8"/>
      <c r="AK87" s="9"/>
    </row>
    <row r="88" spans="1:41" ht="58.5" customHeight="1">
      <c r="A88" s="575"/>
      <c r="B88" s="200" t="s">
        <v>435</v>
      </c>
      <c r="C88" s="96" t="s">
        <v>436</v>
      </c>
      <c r="D88" s="197"/>
      <c r="E88" s="197"/>
      <c r="F88" s="197"/>
      <c r="G88" s="197"/>
      <c r="H88" s="197"/>
      <c r="I88" s="197"/>
      <c r="J88" s="190"/>
      <c r="K88" s="190"/>
      <c r="L88" s="190"/>
      <c r="M88" s="190"/>
      <c r="N88" s="192"/>
      <c r="O88" s="278"/>
      <c r="P88" s="305">
        <v>1</v>
      </c>
      <c r="Q88" s="309"/>
      <c r="R88" s="305">
        <v>1</v>
      </c>
      <c r="S88" s="309"/>
      <c r="T88" s="305">
        <v>1</v>
      </c>
      <c r="U88" s="309"/>
      <c r="V88" s="305">
        <v>1</v>
      </c>
      <c r="W88" s="309"/>
      <c r="X88" s="305">
        <v>1</v>
      </c>
      <c r="Y88" s="309"/>
      <c r="Z88" s="305">
        <v>1</v>
      </c>
      <c r="AA88" s="319"/>
      <c r="AB88" s="305">
        <v>1</v>
      </c>
      <c r="AC88" s="322"/>
      <c r="AD88" s="305">
        <v>1</v>
      </c>
      <c r="AE88" s="322"/>
      <c r="AF88" s="305">
        <v>1</v>
      </c>
      <c r="AG88" s="322"/>
      <c r="AH88" s="291" t="s">
        <v>1027</v>
      </c>
      <c r="AI88" s="8"/>
      <c r="AJ88" s="8"/>
      <c r="AK88" s="9"/>
    </row>
    <row r="89" spans="1:41" ht="39" customHeight="1">
      <c r="A89" s="575"/>
      <c r="B89" s="200" t="s">
        <v>1044</v>
      </c>
      <c r="C89" s="96" t="s">
        <v>437</v>
      </c>
      <c r="D89" s="197"/>
      <c r="E89" s="197"/>
      <c r="F89" s="197"/>
      <c r="G89" s="197"/>
      <c r="H89" s="197"/>
      <c r="I89" s="197"/>
      <c r="J89" s="190"/>
      <c r="K89" s="190"/>
      <c r="L89" s="190"/>
      <c r="M89" s="190"/>
      <c r="N89" s="192"/>
      <c r="O89" s="278"/>
      <c r="P89" s="304"/>
      <c r="Q89" s="308"/>
      <c r="R89" s="306">
        <v>1</v>
      </c>
      <c r="S89" s="308"/>
      <c r="T89" s="300"/>
      <c r="U89" s="308"/>
      <c r="V89" s="300"/>
      <c r="W89" s="308"/>
      <c r="X89" s="300"/>
      <c r="Y89" s="308"/>
      <c r="Z89" s="300"/>
      <c r="AA89" s="320"/>
      <c r="AB89" s="301"/>
      <c r="AC89" s="301"/>
      <c r="AD89" s="301"/>
      <c r="AE89" s="301"/>
      <c r="AF89" s="301"/>
      <c r="AG89" s="301"/>
      <c r="AH89" s="291" t="s">
        <v>998</v>
      </c>
      <c r="AI89" s="8"/>
      <c r="AJ89" s="8"/>
      <c r="AK89" s="9"/>
    </row>
    <row r="90" spans="1:41" ht="39" customHeight="1">
      <c r="A90" s="575"/>
      <c r="B90" s="200" t="s">
        <v>438</v>
      </c>
      <c r="C90" s="96" t="s">
        <v>439</v>
      </c>
      <c r="D90" s="197"/>
      <c r="E90" s="197"/>
      <c r="F90" s="197"/>
      <c r="G90" s="197"/>
      <c r="H90" s="197"/>
      <c r="I90" s="197"/>
      <c r="J90" s="190"/>
      <c r="K90" s="190"/>
      <c r="L90" s="190"/>
      <c r="M90" s="190"/>
      <c r="N90" s="192"/>
      <c r="O90" s="278"/>
      <c r="P90" s="305">
        <v>1</v>
      </c>
      <c r="Q90" s="309"/>
      <c r="R90" s="305">
        <v>1</v>
      </c>
      <c r="S90" s="309"/>
      <c r="T90" s="305">
        <v>1</v>
      </c>
      <c r="U90" s="309"/>
      <c r="V90" s="305">
        <v>1</v>
      </c>
      <c r="W90" s="309"/>
      <c r="X90" s="305">
        <v>1</v>
      </c>
      <c r="Y90" s="309"/>
      <c r="Z90" s="305">
        <v>1</v>
      </c>
      <c r="AA90" s="319"/>
      <c r="AB90" s="305">
        <v>1</v>
      </c>
      <c r="AC90" s="322"/>
      <c r="AD90" s="305">
        <v>1</v>
      </c>
      <c r="AE90" s="322"/>
      <c r="AF90" s="305">
        <v>1</v>
      </c>
      <c r="AG90" s="301"/>
      <c r="AH90" s="291" t="s">
        <v>999</v>
      </c>
      <c r="AI90" s="8"/>
      <c r="AJ90" s="8"/>
      <c r="AK90" s="9"/>
    </row>
    <row r="91" spans="1:41" ht="39" customHeight="1">
      <c r="A91" s="575"/>
      <c r="B91" s="263" t="s">
        <v>440</v>
      </c>
      <c r="C91" s="96" t="s">
        <v>441</v>
      </c>
      <c r="D91" s="197"/>
      <c r="E91" s="197"/>
      <c r="F91" s="197"/>
      <c r="G91" s="197"/>
      <c r="H91" s="197"/>
      <c r="I91" s="197"/>
      <c r="J91" s="190"/>
      <c r="K91" s="190"/>
      <c r="L91" s="190"/>
      <c r="M91" s="190"/>
      <c r="N91" s="192"/>
      <c r="O91" s="278"/>
      <c r="P91" s="300"/>
      <c r="Q91" s="308"/>
      <c r="R91" s="305">
        <v>1</v>
      </c>
      <c r="S91" s="308"/>
      <c r="T91" s="300"/>
      <c r="U91" s="308"/>
      <c r="V91" s="300"/>
      <c r="W91" s="308"/>
      <c r="X91" s="300"/>
      <c r="Y91" s="308"/>
      <c r="Z91" s="300"/>
      <c r="AA91" s="320"/>
      <c r="AB91" s="301"/>
      <c r="AC91" s="301"/>
      <c r="AD91" s="301"/>
      <c r="AE91" s="301"/>
      <c r="AF91" s="301"/>
      <c r="AG91" s="301"/>
      <c r="AH91" s="291" t="s">
        <v>1000</v>
      </c>
      <c r="AI91" s="8"/>
      <c r="AJ91" s="8"/>
      <c r="AK91" s="9"/>
    </row>
    <row r="92" spans="1:41" ht="78" customHeight="1">
      <c r="A92" s="575"/>
      <c r="B92" s="200" t="s">
        <v>442</v>
      </c>
      <c r="C92" s="96" t="s">
        <v>423</v>
      </c>
      <c r="D92" s="197"/>
      <c r="E92" s="197"/>
      <c r="F92" s="197"/>
      <c r="G92" s="197"/>
      <c r="H92" s="197"/>
      <c r="I92" s="197"/>
      <c r="J92" s="190"/>
      <c r="K92" s="190"/>
      <c r="L92" s="190"/>
      <c r="M92" s="190"/>
      <c r="N92" s="192"/>
      <c r="O92" s="278"/>
      <c r="P92" s="305">
        <v>1</v>
      </c>
      <c r="Q92" s="309"/>
      <c r="R92" s="305">
        <v>1</v>
      </c>
      <c r="S92" s="309"/>
      <c r="T92" s="305">
        <v>1</v>
      </c>
      <c r="U92" s="309"/>
      <c r="V92" s="305">
        <v>1</v>
      </c>
      <c r="W92" s="309"/>
      <c r="X92" s="305">
        <v>1</v>
      </c>
      <c r="Y92" s="309"/>
      <c r="Z92" s="305">
        <v>1</v>
      </c>
      <c r="AA92" s="319"/>
      <c r="AB92" s="305">
        <v>1</v>
      </c>
      <c r="AC92" s="322"/>
      <c r="AD92" s="305">
        <v>1</v>
      </c>
      <c r="AE92" s="322"/>
      <c r="AF92" s="305">
        <v>1</v>
      </c>
      <c r="AG92" s="301"/>
      <c r="AH92" s="295"/>
      <c r="AI92" s="8"/>
      <c r="AJ92" s="8"/>
      <c r="AK92" s="9"/>
    </row>
    <row r="93" spans="1:41" ht="39" customHeight="1">
      <c r="A93" s="575"/>
      <c r="B93" s="200" t="s">
        <v>443</v>
      </c>
      <c r="C93" s="96" t="s">
        <v>444</v>
      </c>
      <c r="D93" s="197"/>
      <c r="E93" s="197"/>
      <c r="F93" s="197"/>
      <c r="G93" s="197"/>
      <c r="H93" s="197"/>
      <c r="I93" s="197"/>
      <c r="J93" s="197"/>
      <c r="K93" s="197"/>
      <c r="L93" s="190"/>
      <c r="M93" s="197"/>
      <c r="N93" s="192"/>
      <c r="O93" s="273"/>
      <c r="P93" s="305"/>
      <c r="Q93" s="302"/>
      <c r="R93" s="300"/>
      <c r="S93" s="302"/>
      <c r="T93" s="300">
        <v>1</v>
      </c>
      <c r="U93" s="302"/>
      <c r="V93" s="300"/>
      <c r="W93" s="302"/>
      <c r="X93" s="300"/>
      <c r="Y93" s="302"/>
      <c r="Z93" s="300"/>
      <c r="AA93" s="316"/>
      <c r="AB93" s="301"/>
      <c r="AC93" s="301"/>
      <c r="AD93" s="301"/>
      <c r="AE93" s="301"/>
      <c r="AF93" s="301"/>
      <c r="AG93" s="301"/>
      <c r="AH93" s="291" t="s">
        <v>1001</v>
      </c>
      <c r="AI93" s="8"/>
      <c r="AJ93" s="8"/>
      <c r="AK93" s="9"/>
    </row>
    <row r="94" spans="1:41" ht="39" customHeight="1">
      <c r="A94" s="575"/>
      <c r="B94" s="200" t="s">
        <v>445</v>
      </c>
      <c r="C94" s="96" t="s">
        <v>446</v>
      </c>
      <c r="D94" s="197"/>
      <c r="E94" s="197"/>
      <c r="F94" s="197"/>
      <c r="G94" s="197"/>
      <c r="H94" s="197"/>
      <c r="I94" s="197"/>
      <c r="J94" s="190"/>
      <c r="K94" s="190"/>
      <c r="L94" s="190"/>
      <c r="M94" s="190"/>
      <c r="N94" s="192"/>
      <c r="O94" s="278"/>
      <c r="P94" s="305">
        <v>1</v>
      </c>
      <c r="Q94" s="309"/>
      <c r="R94" s="305">
        <v>1</v>
      </c>
      <c r="S94" s="309"/>
      <c r="T94" s="305">
        <v>1</v>
      </c>
      <c r="U94" s="309"/>
      <c r="V94" s="305">
        <v>1</v>
      </c>
      <c r="W94" s="309"/>
      <c r="X94" s="305">
        <v>1</v>
      </c>
      <c r="Y94" s="309"/>
      <c r="Z94" s="305">
        <v>1</v>
      </c>
      <c r="AA94" s="319"/>
      <c r="AB94" s="305">
        <v>1</v>
      </c>
      <c r="AC94" s="322"/>
      <c r="AD94" s="305">
        <v>1</v>
      </c>
      <c r="AE94" s="322"/>
      <c r="AF94" s="305">
        <v>1</v>
      </c>
      <c r="AG94" s="301"/>
      <c r="AH94" s="295"/>
      <c r="AI94" s="8"/>
      <c r="AJ94" s="8"/>
      <c r="AK94" s="9"/>
    </row>
    <row r="95" spans="1:41" ht="39" customHeight="1">
      <c r="A95" s="575"/>
      <c r="B95" s="200" t="s">
        <v>447</v>
      </c>
      <c r="C95" s="96" t="s">
        <v>446</v>
      </c>
      <c r="D95" s="197"/>
      <c r="E95" s="197"/>
      <c r="F95" s="197"/>
      <c r="G95" s="197"/>
      <c r="H95" s="197"/>
      <c r="I95" s="197"/>
      <c r="J95" s="190"/>
      <c r="K95" s="197"/>
      <c r="L95" s="197"/>
      <c r="M95" s="197"/>
      <c r="N95" s="192"/>
      <c r="O95" s="273"/>
      <c r="P95" s="304">
        <v>1</v>
      </c>
      <c r="Q95" s="302"/>
      <c r="R95" s="304">
        <v>1</v>
      </c>
      <c r="S95" s="302"/>
      <c r="T95" s="304">
        <v>1</v>
      </c>
      <c r="U95" s="302"/>
      <c r="V95" s="304">
        <v>1</v>
      </c>
      <c r="W95" s="302"/>
      <c r="X95" s="304">
        <v>1</v>
      </c>
      <c r="Y95" s="302"/>
      <c r="Z95" s="304">
        <v>1</v>
      </c>
      <c r="AA95" s="304"/>
      <c r="AB95" s="304">
        <v>1</v>
      </c>
      <c r="AC95" s="304"/>
      <c r="AD95" s="304">
        <v>1</v>
      </c>
      <c r="AE95" s="304"/>
      <c r="AF95" s="304">
        <v>1</v>
      </c>
      <c r="AG95" s="301"/>
      <c r="AH95" s="295"/>
      <c r="AI95" s="8"/>
      <c r="AJ95" s="8"/>
      <c r="AK95" s="9"/>
    </row>
    <row r="96" spans="1:41" ht="39" customHeight="1">
      <c r="A96" s="575"/>
      <c r="B96" s="200" t="s">
        <v>448</v>
      </c>
      <c r="C96" s="96" t="s">
        <v>433</v>
      </c>
      <c r="D96" s="197"/>
      <c r="E96" s="197"/>
      <c r="F96" s="197"/>
      <c r="G96" s="197"/>
      <c r="H96" s="197"/>
      <c r="I96" s="197"/>
      <c r="J96" s="190"/>
      <c r="K96" s="197"/>
      <c r="L96" s="197"/>
      <c r="M96" s="197"/>
      <c r="N96" s="192"/>
      <c r="O96" s="273"/>
      <c r="P96" s="305">
        <v>1</v>
      </c>
      <c r="Q96" s="302"/>
      <c r="R96" s="300"/>
      <c r="S96" s="302"/>
      <c r="T96" s="300"/>
      <c r="U96" s="302"/>
      <c r="V96" s="300"/>
      <c r="W96" s="302"/>
      <c r="X96" s="300"/>
      <c r="Y96" s="302"/>
      <c r="Z96" s="300"/>
      <c r="AA96" s="316"/>
      <c r="AB96" s="301"/>
      <c r="AC96" s="301"/>
      <c r="AD96" s="301"/>
      <c r="AE96" s="301"/>
      <c r="AF96" s="301"/>
      <c r="AG96" s="301"/>
      <c r="AH96" s="295"/>
      <c r="AI96" s="8"/>
      <c r="AJ96" s="8"/>
      <c r="AK96" s="9"/>
    </row>
    <row r="97" spans="1:37" ht="50.15" customHeight="1">
      <c r="A97" s="575"/>
      <c r="B97" s="200" t="s">
        <v>1045</v>
      </c>
      <c r="C97" s="96" t="s">
        <v>1046</v>
      </c>
      <c r="D97" s="197"/>
      <c r="E97" s="197"/>
      <c r="F97" s="197"/>
      <c r="G97" s="197"/>
      <c r="H97" s="197"/>
      <c r="I97" s="197"/>
      <c r="J97" s="190"/>
      <c r="K97" s="197"/>
      <c r="L97" s="190"/>
      <c r="M97" s="190"/>
      <c r="N97" s="192"/>
      <c r="O97" s="278"/>
      <c r="P97" s="305"/>
      <c r="Q97" s="307"/>
      <c r="R97" s="305">
        <v>1</v>
      </c>
      <c r="S97" s="307"/>
      <c r="T97" s="305"/>
      <c r="U97" s="307"/>
      <c r="V97" s="305"/>
      <c r="W97" s="307"/>
      <c r="X97" s="305"/>
      <c r="Y97" s="307"/>
      <c r="Z97" s="305"/>
      <c r="AA97" s="341"/>
      <c r="AB97" s="301"/>
      <c r="AC97" s="301"/>
      <c r="AD97" s="301"/>
      <c r="AE97" s="301"/>
      <c r="AF97" s="301"/>
      <c r="AG97" s="301"/>
      <c r="AH97" s="298"/>
      <c r="AI97" s="268"/>
      <c r="AJ97" s="268"/>
      <c r="AK97" s="271"/>
    </row>
    <row r="98" spans="1:37" ht="58.5" customHeight="1">
      <c r="A98" s="575"/>
      <c r="B98" s="200" t="s">
        <v>449</v>
      </c>
      <c r="C98" s="96" t="s">
        <v>427</v>
      </c>
      <c r="D98" s="197"/>
      <c r="E98" s="197"/>
      <c r="F98" s="197"/>
      <c r="G98" s="197"/>
      <c r="H98" s="197"/>
      <c r="I98" s="197"/>
      <c r="J98" s="190"/>
      <c r="K98" s="197"/>
      <c r="L98" s="190"/>
      <c r="M98" s="190"/>
      <c r="N98" s="192"/>
      <c r="O98" s="278"/>
      <c r="P98" s="305">
        <v>1</v>
      </c>
      <c r="Q98" s="309"/>
      <c r="R98" s="305">
        <v>1</v>
      </c>
      <c r="S98" s="309"/>
      <c r="T98" s="305">
        <v>1</v>
      </c>
      <c r="U98" s="309"/>
      <c r="V98" s="305">
        <v>1</v>
      </c>
      <c r="W98" s="309"/>
      <c r="X98" s="305">
        <v>1</v>
      </c>
      <c r="Y98" s="309"/>
      <c r="Z98" s="305">
        <v>1</v>
      </c>
      <c r="AA98" s="319"/>
      <c r="AB98" s="305">
        <v>1</v>
      </c>
      <c r="AC98" s="322"/>
      <c r="AD98" s="305">
        <v>1</v>
      </c>
      <c r="AE98" s="322"/>
      <c r="AF98" s="305">
        <v>1</v>
      </c>
      <c r="AG98" s="301"/>
      <c r="AH98" s="291" t="s">
        <v>1028</v>
      </c>
      <c r="AI98" s="8"/>
      <c r="AJ98" s="8"/>
      <c r="AK98" s="9"/>
    </row>
    <row r="99" spans="1:37" ht="58.5" customHeight="1">
      <c r="A99" s="575"/>
      <c r="B99" s="200" t="s">
        <v>450</v>
      </c>
      <c r="C99" s="96" t="s">
        <v>441</v>
      </c>
      <c r="D99" s="197"/>
      <c r="E99" s="197"/>
      <c r="F99" s="197"/>
      <c r="G99" s="197"/>
      <c r="H99" s="197"/>
      <c r="I99" s="197"/>
      <c r="J99" s="190"/>
      <c r="K99" s="197"/>
      <c r="L99" s="190"/>
      <c r="M99" s="190"/>
      <c r="N99" s="192"/>
      <c r="O99" s="278"/>
      <c r="P99" s="304">
        <v>1</v>
      </c>
      <c r="Q99" s="302"/>
      <c r="R99" s="304">
        <v>1</v>
      </c>
      <c r="S99" s="302"/>
      <c r="T99" s="304">
        <v>1</v>
      </c>
      <c r="U99" s="302"/>
      <c r="V99" s="304">
        <v>1</v>
      </c>
      <c r="W99" s="302"/>
      <c r="X99" s="304">
        <v>1</v>
      </c>
      <c r="Y99" s="302"/>
      <c r="Z99" s="304">
        <v>1</v>
      </c>
      <c r="AA99" s="304"/>
      <c r="AB99" s="304">
        <v>1</v>
      </c>
      <c r="AC99" s="304"/>
      <c r="AD99" s="304">
        <v>1</v>
      </c>
      <c r="AE99" s="304"/>
      <c r="AF99" s="304">
        <v>1</v>
      </c>
      <c r="AG99" s="301"/>
      <c r="AH99" s="295"/>
      <c r="AI99" s="8"/>
      <c r="AJ99" s="8"/>
      <c r="AK99" s="9"/>
    </row>
    <row r="100" spans="1:37" ht="58.5" customHeight="1">
      <c r="A100" s="575"/>
      <c r="B100" s="200" t="s">
        <v>451</v>
      </c>
      <c r="C100" s="96" t="s">
        <v>452</v>
      </c>
      <c r="D100" s="197"/>
      <c r="E100" s="197"/>
      <c r="F100" s="197"/>
      <c r="G100" s="197"/>
      <c r="H100" s="197"/>
      <c r="I100" s="197"/>
      <c r="J100" s="190"/>
      <c r="K100" s="197"/>
      <c r="L100" s="190"/>
      <c r="M100" s="190"/>
      <c r="N100" s="192"/>
      <c r="O100" s="278"/>
      <c r="P100" s="304">
        <v>1</v>
      </c>
      <c r="Q100" s="302"/>
      <c r="R100" s="304">
        <v>1</v>
      </c>
      <c r="S100" s="302"/>
      <c r="T100" s="304">
        <v>1</v>
      </c>
      <c r="U100" s="302"/>
      <c r="V100" s="304">
        <v>1</v>
      </c>
      <c r="W100" s="302"/>
      <c r="X100" s="304">
        <v>1</v>
      </c>
      <c r="Y100" s="302"/>
      <c r="Z100" s="304">
        <v>1</v>
      </c>
      <c r="AA100" s="304"/>
      <c r="AB100" s="304">
        <v>1</v>
      </c>
      <c r="AC100" s="304"/>
      <c r="AD100" s="304">
        <v>1</v>
      </c>
      <c r="AE100" s="304"/>
      <c r="AF100" s="304">
        <v>1</v>
      </c>
      <c r="AG100" s="301"/>
      <c r="AH100" s="295"/>
      <c r="AI100" s="8"/>
      <c r="AJ100" s="8"/>
      <c r="AK100" s="9"/>
    </row>
    <row r="101" spans="1:37" ht="39" customHeight="1">
      <c r="A101" s="575"/>
      <c r="B101" s="200" t="s">
        <v>1047</v>
      </c>
      <c r="C101" s="96" t="s">
        <v>1048</v>
      </c>
      <c r="D101" s="197"/>
      <c r="E101" s="197"/>
      <c r="F101" s="197"/>
      <c r="G101" s="197"/>
      <c r="H101" s="197"/>
      <c r="I101" s="197"/>
      <c r="J101" s="190"/>
      <c r="K101" s="197"/>
      <c r="L101" s="190"/>
      <c r="M101" s="190"/>
      <c r="N101" s="192"/>
      <c r="O101" s="278"/>
      <c r="P101" s="305"/>
      <c r="Q101" s="307"/>
      <c r="R101" s="305">
        <v>1</v>
      </c>
      <c r="S101" s="307"/>
      <c r="T101" s="300"/>
      <c r="U101" s="308"/>
      <c r="V101" s="300"/>
      <c r="W101" s="308"/>
      <c r="X101" s="300"/>
      <c r="Y101" s="308"/>
      <c r="Z101" s="300"/>
      <c r="AA101" s="321"/>
      <c r="AB101" s="301"/>
      <c r="AC101" s="301"/>
      <c r="AD101" s="301"/>
      <c r="AE101" s="301"/>
      <c r="AF101" s="301"/>
      <c r="AG101" s="301"/>
      <c r="AH101" s="295"/>
      <c r="AI101" s="8"/>
      <c r="AJ101" s="8"/>
      <c r="AK101" s="9"/>
    </row>
    <row r="102" spans="1:37" ht="30.65" customHeight="1">
      <c r="A102" s="575"/>
      <c r="B102" s="200" t="s">
        <v>453</v>
      </c>
      <c r="C102" s="96" t="s">
        <v>340</v>
      </c>
      <c r="D102" s="197"/>
      <c r="E102" s="197"/>
      <c r="F102" s="197"/>
      <c r="G102" s="197"/>
      <c r="H102" s="197"/>
      <c r="I102" s="197"/>
      <c r="J102" s="190"/>
      <c r="K102" s="197"/>
      <c r="L102" s="190"/>
      <c r="M102" s="190"/>
      <c r="N102" s="192"/>
      <c r="O102" s="278"/>
      <c r="P102" s="304"/>
      <c r="Q102" s="308"/>
      <c r="R102" s="305"/>
      <c r="S102" s="307"/>
      <c r="T102" s="300">
        <v>1</v>
      </c>
      <c r="U102" s="308"/>
      <c r="V102" s="300"/>
      <c r="W102" s="308"/>
      <c r="X102" s="300"/>
      <c r="Y102" s="308"/>
      <c r="Z102" s="300"/>
      <c r="AA102" s="321"/>
      <c r="AB102" s="301"/>
      <c r="AC102" s="301"/>
      <c r="AD102" s="301"/>
      <c r="AE102" s="301"/>
      <c r="AF102" s="301"/>
      <c r="AG102" s="301"/>
      <c r="AH102" s="291" t="s">
        <v>1002</v>
      </c>
      <c r="AI102" s="8"/>
      <c r="AJ102" s="8"/>
      <c r="AK102" s="9"/>
    </row>
    <row r="103" spans="1:37" ht="30.65" customHeight="1">
      <c r="A103" s="575"/>
      <c r="B103" s="200" t="s">
        <v>1049</v>
      </c>
      <c r="C103" s="96" t="s">
        <v>340</v>
      </c>
      <c r="D103" s="197"/>
      <c r="E103" s="197"/>
      <c r="F103" s="197"/>
      <c r="G103" s="197"/>
      <c r="H103" s="197"/>
      <c r="I103" s="197"/>
      <c r="J103" s="190"/>
      <c r="K103" s="197"/>
      <c r="L103" s="190"/>
      <c r="M103" s="190"/>
      <c r="N103" s="192"/>
      <c r="O103" s="278"/>
      <c r="P103" s="304"/>
      <c r="Q103" s="308"/>
      <c r="R103" s="305">
        <v>1</v>
      </c>
      <c r="S103" s="307"/>
      <c r="T103" s="300"/>
      <c r="U103" s="308"/>
      <c r="V103" s="300"/>
      <c r="W103" s="308"/>
      <c r="X103" s="300"/>
      <c r="Y103" s="308"/>
      <c r="Z103" s="300"/>
      <c r="AA103" s="321"/>
      <c r="AB103" s="301"/>
      <c r="AC103" s="301"/>
      <c r="AD103" s="301"/>
      <c r="AE103" s="301"/>
      <c r="AF103" s="301"/>
      <c r="AG103" s="301"/>
      <c r="AH103" s="291"/>
      <c r="AI103" s="270"/>
      <c r="AJ103" s="270"/>
      <c r="AK103" s="9"/>
    </row>
    <row r="104" spans="1:37" ht="58.5" customHeight="1">
      <c r="A104" s="575"/>
      <c r="B104" s="200" t="s">
        <v>1050</v>
      </c>
      <c r="C104" s="96" t="s">
        <v>381</v>
      </c>
      <c r="D104" s="197"/>
      <c r="E104" s="197"/>
      <c r="F104" s="197"/>
      <c r="G104" s="197"/>
      <c r="H104" s="197"/>
      <c r="I104" s="197"/>
      <c r="J104" s="190"/>
      <c r="K104" s="197"/>
      <c r="L104" s="190"/>
      <c r="M104" s="190"/>
      <c r="N104" s="192"/>
      <c r="O104" s="278"/>
      <c r="P104" s="304">
        <v>1</v>
      </c>
      <c r="Q104" s="302"/>
      <c r="R104" s="304">
        <v>1</v>
      </c>
      <c r="S104" s="302"/>
      <c r="T104" s="304">
        <v>1</v>
      </c>
      <c r="U104" s="302"/>
      <c r="V104" s="304">
        <v>1</v>
      </c>
      <c r="W104" s="302"/>
      <c r="X104" s="304">
        <v>1</v>
      </c>
      <c r="Y104" s="302"/>
      <c r="Z104" s="304">
        <v>1</v>
      </c>
      <c r="AA104" s="304"/>
      <c r="AB104" s="304">
        <v>1</v>
      </c>
      <c r="AC104" s="304"/>
      <c r="AD104" s="304">
        <v>1</v>
      </c>
      <c r="AE104" s="304"/>
      <c r="AF104" s="304">
        <v>1</v>
      </c>
      <c r="AG104" s="301"/>
      <c r="AH104" s="291" t="s">
        <v>1003</v>
      </c>
      <c r="AI104" s="8"/>
      <c r="AJ104" s="8"/>
      <c r="AK104" s="9"/>
    </row>
    <row r="105" spans="1:37" ht="79.5" customHeight="1">
      <c r="A105" s="575"/>
      <c r="B105" s="200" t="s">
        <v>1051</v>
      </c>
      <c r="C105" s="96" t="s">
        <v>1052</v>
      </c>
      <c r="D105" s="197"/>
      <c r="E105" s="197"/>
      <c r="F105" s="197"/>
      <c r="G105" s="197"/>
      <c r="H105" s="197"/>
      <c r="I105" s="197"/>
      <c r="J105" s="190"/>
      <c r="K105" s="197"/>
      <c r="L105" s="190"/>
      <c r="M105" s="190"/>
      <c r="N105" s="192"/>
      <c r="O105" s="278"/>
      <c r="P105" s="304">
        <v>1</v>
      </c>
      <c r="Q105" s="302"/>
      <c r="R105" s="304">
        <v>1</v>
      </c>
      <c r="S105" s="302"/>
      <c r="T105" s="304">
        <v>1</v>
      </c>
      <c r="U105" s="302"/>
      <c r="V105" s="304">
        <v>1</v>
      </c>
      <c r="W105" s="302"/>
      <c r="X105" s="304">
        <v>1</v>
      </c>
      <c r="Y105" s="302"/>
      <c r="Z105" s="304">
        <v>1</v>
      </c>
      <c r="AA105" s="304"/>
      <c r="AB105" s="304">
        <v>1</v>
      </c>
      <c r="AC105" s="304"/>
      <c r="AD105" s="304">
        <v>1</v>
      </c>
      <c r="AE105" s="304"/>
      <c r="AF105" s="304">
        <v>1</v>
      </c>
      <c r="AG105" s="301"/>
      <c r="AH105" s="291" t="s">
        <v>1003</v>
      </c>
      <c r="AI105" s="8"/>
      <c r="AJ105" s="8"/>
      <c r="AK105" s="9"/>
    </row>
    <row r="106" spans="1:37" ht="142.5" customHeight="1">
      <c r="A106" s="575"/>
      <c r="B106" s="200" t="s">
        <v>1053</v>
      </c>
      <c r="C106" s="96" t="s">
        <v>441</v>
      </c>
      <c r="D106" s="197"/>
      <c r="E106" s="197"/>
      <c r="F106" s="197"/>
      <c r="G106" s="197"/>
      <c r="H106" s="197"/>
      <c r="I106" s="197"/>
      <c r="J106" s="190"/>
      <c r="K106" s="197"/>
      <c r="L106" s="190"/>
      <c r="M106" s="190"/>
      <c r="N106" s="192"/>
      <c r="O106" s="278"/>
      <c r="P106" s="304"/>
      <c r="Q106" s="308"/>
      <c r="R106" s="304"/>
      <c r="S106" s="302"/>
      <c r="T106" s="304">
        <v>1</v>
      </c>
      <c r="U106" s="308"/>
      <c r="V106" s="306"/>
      <c r="W106" s="308"/>
      <c r="X106" s="300"/>
      <c r="Y106" s="308"/>
      <c r="Z106" s="300"/>
      <c r="AA106" s="321"/>
      <c r="AB106" s="301"/>
      <c r="AC106" s="301"/>
      <c r="AD106" s="301"/>
      <c r="AE106" s="301"/>
      <c r="AF106" s="301"/>
      <c r="AG106" s="301"/>
      <c r="AH106" s="291" t="s">
        <v>1004</v>
      </c>
      <c r="AI106" s="8"/>
      <c r="AJ106" s="8"/>
      <c r="AK106" s="9"/>
    </row>
    <row r="107" spans="1:37" ht="52.5" customHeight="1">
      <c r="A107" s="575"/>
      <c r="B107" s="200" t="s">
        <v>454</v>
      </c>
      <c r="C107" s="96" t="s">
        <v>444</v>
      </c>
      <c r="D107" s="197"/>
      <c r="E107" s="197"/>
      <c r="F107" s="197"/>
      <c r="G107" s="197"/>
      <c r="H107" s="197"/>
      <c r="I107" s="197"/>
      <c r="J107" s="190"/>
      <c r="K107" s="197"/>
      <c r="L107" s="190"/>
      <c r="M107" s="190"/>
      <c r="N107" s="192"/>
      <c r="O107" s="278"/>
      <c r="P107" s="304"/>
      <c r="Q107" s="308"/>
      <c r="R107" s="307">
        <v>1</v>
      </c>
      <c r="S107" s="262"/>
      <c r="T107" s="306">
        <v>1</v>
      </c>
      <c r="U107" s="308"/>
      <c r="V107" s="306"/>
      <c r="W107" s="308"/>
      <c r="X107" s="306"/>
      <c r="Y107" s="308"/>
      <c r="Z107" s="300"/>
      <c r="AA107" s="321"/>
      <c r="AB107" s="301"/>
      <c r="AC107" s="301"/>
      <c r="AD107" s="301"/>
      <c r="AE107" s="301"/>
      <c r="AF107" s="301"/>
      <c r="AG107" s="301"/>
      <c r="AH107" s="291" t="s">
        <v>1005</v>
      </c>
      <c r="AI107" s="8"/>
      <c r="AJ107" s="8"/>
      <c r="AK107" s="9"/>
    </row>
    <row r="108" spans="1:37" s="262" customFormat="1" ht="58.5" customHeight="1">
      <c r="A108" s="575"/>
      <c r="B108" s="263" t="s">
        <v>455</v>
      </c>
      <c r="C108" s="258" t="s">
        <v>456</v>
      </c>
      <c r="D108" s="325"/>
      <c r="E108" s="325"/>
      <c r="F108" s="325"/>
      <c r="G108" s="325"/>
      <c r="H108" s="325"/>
      <c r="I108" s="325"/>
      <c r="J108" s="338"/>
      <c r="K108" s="325"/>
      <c r="L108" s="338"/>
      <c r="M108" s="338"/>
      <c r="N108" s="326"/>
      <c r="O108" s="339"/>
      <c r="P108" s="305">
        <v>1</v>
      </c>
      <c r="Q108" s="309"/>
      <c r="R108" s="305">
        <v>1</v>
      </c>
      <c r="S108" s="309"/>
      <c r="T108" s="305">
        <v>1</v>
      </c>
      <c r="U108" s="309"/>
      <c r="V108" s="305">
        <v>1</v>
      </c>
      <c r="W108" s="309"/>
      <c r="X108" s="305">
        <v>1</v>
      </c>
      <c r="Y108" s="309"/>
      <c r="Z108" s="305">
        <v>1</v>
      </c>
      <c r="AA108" s="305"/>
      <c r="AB108" s="305">
        <v>1</v>
      </c>
      <c r="AC108" s="305"/>
      <c r="AD108" s="305">
        <v>1</v>
      </c>
      <c r="AE108" s="305"/>
      <c r="AF108" s="305">
        <v>1</v>
      </c>
      <c r="AG108" s="322"/>
      <c r="AH108" s="296"/>
      <c r="AI108" s="260"/>
      <c r="AJ108" s="260"/>
      <c r="AK108" s="264"/>
    </row>
    <row r="109" spans="1:37" ht="39" customHeight="1">
      <c r="A109" s="575"/>
      <c r="B109" s="200" t="s">
        <v>457</v>
      </c>
      <c r="C109" s="96" t="s">
        <v>458</v>
      </c>
      <c r="D109" s="197"/>
      <c r="E109" s="197"/>
      <c r="F109" s="197"/>
      <c r="G109" s="197"/>
      <c r="H109" s="197"/>
      <c r="I109" s="197"/>
      <c r="J109" s="190"/>
      <c r="K109" s="197"/>
      <c r="L109" s="190"/>
      <c r="M109" s="190"/>
      <c r="N109" s="192"/>
      <c r="O109" s="278"/>
      <c r="P109" s="304"/>
      <c r="Q109" s="308"/>
      <c r="R109" s="306">
        <v>1</v>
      </c>
      <c r="S109" s="307"/>
      <c r="T109" s="306"/>
      <c r="U109" s="308"/>
      <c r="V109" s="300"/>
      <c r="W109" s="308"/>
      <c r="X109" s="300"/>
      <c r="Y109" s="308"/>
      <c r="Z109" s="300"/>
      <c r="AA109" s="321"/>
      <c r="AB109" s="301"/>
      <c r="AC109" s="301"/>
      <c r="AD109" s="301"/>
      <c r="AE109" s="301"/>
      <c r="AF109" s="301"/>
      <c r="AG109" s="301"/>
      <c r="AH109" s="295" t="s">
        <v>1006</v>
      </c>
      <c r="AI109" s="8"/>
      <c r="AJ109" s="8"/>
      <c r="AK109" s="9"/>
    </row>
    <row r="110" spans="1:37" ht="39" customHeight="1">
      <c r="A110" s="575"/>
      <c r="B110" s="284" t="s">
        <v>459</v>
      </c>
      <c r="C110" s="96" t="s">
        <v>460</v>
      </c>
      <c r="D110" s="197"/>
      <c r="E110" s="197"/>
      <c r="F110" s="197"/>
      <c r="G110" s="197"/>
      <c r="H110" s="197"/>
      <c r="I110" s="197"/>
      <c r="J110" s="190"/>
      <c r="K110" s="197"/>
      <c r="L110" s="190"/>
      <c r="M110" s="190"/>
      <c r="N110" s="192"/>
      <c r="O110" s="278"/>
      <c r="P110" s="304"/>
      <c r="Q110" s="308"/>
      <c r="R110" s="304">
        <v>1</v>
      </c>
      <c r="S110" s="308"/>
      <c r="T110" s="304"/>
      <c r="U110" s="308"/>
      <c r="V110" s="304">
        <v>1</v>
      </c>
      <c r="W110" s="308"/>
      <c r="X110" s="304"/>
      <c r="Y110" s="308"/>
      <c r="Z110" s="300">
        <v>1</v>
      </c>
      <c r="AA110" s="321"/>
      <c r="AB110" s="301"/>
      <c r="AC110" s="301"/>
      <c r="AD110" s="300">
        <v>1</v>
      </c>
      <c r="AE110" s="301"/>
      <c r="AF110" s="301"/>
      <c r="AG110" s="301"/>
      <c r="AH110" s="295" t="s">
        <v>1007</v>
      </c>
      <c r="AI110" s="8"/>
      <c r="AJ110" s="8"/>
      <c r="AK110" s="9"/>
    </row>
    <row r="111" spans="1:37" s="262" customFormat="1" ht="39" customHeight="1">
      <c r="A111" s="575"/>
      <c r="B111" s="263" t="s">
        <v>461</v>
      </c>
      <c r="C111" s="258" t="s">
        <v>439</v>
      </c>
      <c r="D111" s="325"/>
      <c r="E111" s="325"/>
      <c r="F111" s="325"/>
      <c r="G111" s="325"/>
      <c r="H111" s="325"/>
      <c r="I111" s="325"/>
      <c r="J111" s="338"/>
      <c r="K111" s="325"/>
      <c r="L111" s="338"/>
      <c r="M111" s="338"/>
      <c r="N111" s="326"/>
      <c r="O111" s="339"/>
      <c r="P111" s="305">
        <v>1</v>
      </c>
      <c r="Q111" s="309"/>
      <c r="R111" s="305">
        <v>1</v>
      </c>
      <c r="S111" s="309"/>
      <c r="T111" s="305">
        <v>1</v>
      </c>
      <c r="U111" s="309"/>
      <c r="V111" s="305">
        <v>1</v>
      </c>
      <c r="W111" s="309"/>
      <c r="X111" s="305">
        <v>1</v>
      </c>
      <c r="Y111" s="309"/>
      <c r="Z111" s="305">
        <v>1</v>
      </c>
      <c r="AA111" s="305"/>
      <c r="AB111" s="305">
        <v>1</v>
      </c>
      <c r="AC111" s="305"/>
      <c r="AD111" s="305">
        <v>1</v>
      </c>
      <c r="AE111" s="305"/>
      <c r="AF111" s="305">
        <v>1</v>
      </c>
      <c r="AG111" s="322"/>
      <c r="AH111" s="296" t="s">
        <v>1008</v>
      </c>
      <c r="AI111" s="260"/>
      <c r="AJ111" s="260"/>
      <c r="AK111" s="264"/>
    </row>
    <row r="112" spans="1:37" ht="58.5" customHeight="1">
      <c r="A112" s="575"/>
      <c r="B112" s="284" t="s">
        <v>462</v>
      </c>
      <c r="C112" s="96" t="s">
        <v>439</v>
      </c>
      <c r="D112" s="197"/>
      <c r="E112" s="197"/>
      <c r="F112" s="197"/>
      <c r="G112" s="197"/>
      <c r="H112" s="197"/>
      <c r="I112" s="197"/>
      <c r="J112" s="190"/>
      <c r="K112" s="197"/>
      <c r="L112" s="190"/>
      <c r="M112" s="190"/>
      <c r="N112" s="192"/>
      <c r="O112" s="278"/>
      <c r="P112" s="300"/>
      <c r="Q112" s="308"/>
      <c r="R112" s="305"/>
      <c r="S112" s="307"/>
      <c r="T112" s="306">
        <v>1</v>
      </c>
      <c r="U112" s="307"/>
      <c r="V112" s="306"/>
      <c r="W112" s="342"/>
      <c r="X112" s="306"/>
      <c r="Y112" s="307"/>
      <c r="Z112" s="306"/>
      <c r="AA112" s="343"/>
      <c r="AB112" s="322"/>
      <c r="AC112" s="301"/>
      <c r="AD112" s="306">
        <v>1</v>
      </c>
      <c r="AE112" s="301"/>
      <c r="AF112" s="301"/>
      <c r="AG112" s="301"/>
      <c r="AH112" s="295"/>
      <c r="AI112" s="8"/>
      <c r="AJ112" s="8"/>
      <c r="AK112" s="9"/>
    </row>
    <row r="113" spans="1:37" ht="39" customHeight="1">
      <c r="A113" s="575"/>
      <c r="B113" s="284" t="s">
        <v>1054</v>
      </c>
      <c r="C113" s="96" t="s">
        <v>339</v>
      </c>
      <c r="D113" s="197"/>
      <c r="E113" s="197"/>
      <c r="F113" s="197"/>
      <c r="G113" s="197"/>
      <c r="H113" s="197"/>
      <c r="I113" s="197"/>
      <c r="J113" s="190"/>
      <c r="K113" s="197"/>
      <c r="L113" s="190"/>
      <c r="M113" s="190"/>
      <c r="N113" s="192"/>
      <c r="O113" s="278"/>
      <c r="P113" s="300"/>
      <c r="Q113" s="308"/>
      <c r="R113" s="304">
        <v>1</v>
      </c>
      <c r="S113" s="308"/>
      <c r="T113" s="300"/>
      <c r="U113" s="308"/>
      <c r="V113" s="300"/>
      <c r="W113" s="308"/>
      <c r="X113" s="300"/>
      <c r="Y113" s="307"/>
      <c r="Z113" s="300"/>
      <c r="AA113" s="321"/>
      <c r="AB113" s="301"/>
      <c r="AC113" s="301"/>
      <c r="AD113" s="301"/>
      <c r="AE113" s="301"/>
      <c r="AF113" s="301"/>
      <c r="AG113" s="301"/>
      <c r="AH113" s="295"/>
      <c r="AI113" s="8"/>
      <c r="AJ113" s="8"/>
      <c r="AK113" s="9"/>
    </row>
    <row r="114" spans="1:37" ht="43" customHeight="1">
      <c r="A114" s="575"/>
      <c r="B114" s="200" t="s">
        <v>465</v>
      </c>
      <c r="C114" s="96" t="s">
        <v>464</v>
      </c>
      <c r="D114" s="197"/>
      <c r="E114" s="197"/>
      <c r="F114" s="197"/>
      <c r="G114" s="197"/>
      <c r="H114" s="197"/>
      <c r="I114" s="197"/>
      <c r="J114" s="197"/>
      <c r="K114" s="197"/>
      <c r="L114" s="197"/>
      <c r="M114" s="197"/>
      <c r="N114" s="192"/>
      <c r="O114" s="273"/>
      <c r="P114" s="300"/>
      <c r="Q114" s="302"/>
      <c r="R114" s="300"/>
      <c r="S114" s="302"/>
      <c r="T114" s="300"/>
      <c r="U114" s="302"/>
      <c r="V114" s="305"/>
      <c r="W114" s="302"/>
      <c r="X114" s="300">
        <v>1</v>
      </c>
      <c r="Y114" s="302"/>
      <c r="Z114" s="300"/>
      <c r="AA114" s="316"/>
      <c r="AB114" s="301"/>
      <c r="AC114" s="301"/>
      <c r="AD114" s="301"/>
      <c r="AE114" s="301"/>
      <c r="AF114" s="301"/>
      <c r="AG114" s="301"/>
      <c r="AH114" s="295" t="s">
        <v>1030</v>
      </c>
      <c r="AI114" s="8"/>
      <c r="AJ114" s="8"/>
      <c r="AK114" s="9"/>
    </row>
    <row r="115" spans="1:37" ht="39" customHeight="1">
      <c r="A115" s="575"/>
      <c r="B115" s="200" t="s">
        <v>466</v>
      </c>
      <c r="C115" s="96" t="s">
        <v>383</v>
      </c>
      <c r="D115" s="197"/>
      <c r="E115" s="197"/>
      <c r="F115" s="197"/>
      <c r="G115" s="197"/>
      <c r="H115" s="197"/>
      <c r="I115" s="197"/>
      <c r="J115" s="197"/>
      <c r="K115" s="197"/>
      <c r="L115" s="190"/>
      <c r="M115" s="201"/>
      <c r="N115" s="192"/>
      <c r="O115" s="288"/>
      <c r="P115" s="305"/>
      <c r="Q115" s="344"/>
      <c r="R115" s="306"/>
      <c r="S115" s="344"/>
      <c r="T115" s="305">
        <v>1</v>
      </c>
      <c r="U115" s="344"/>
      <c r="V115" s="306"/>
      <c r="W115" s="344"/>
      <c r="X115" s="305"/>
      <c r="Y115" s="310"/>
      <c r="Z115" s="300"/>
      <c r="AA115" s="316"/>
      <c r="AB115" s="301"/>
      <c r="AC115" s="301"/>
      <c r="AD115" s="301"/>
      <c r="AE115" s="301"/>
      <c r="AF115" s="301"/>
      <c r="AG115" s="301"/>
      <c r="AH115" s="295"/>
      <c r="AI115" s="8"/>
      <c r="AJ115" s="8"/>
      <c r="AK115" s="9"/>
    </row>
    <row r="116" spans="1:37" ht="75.650000000000006" customHeight="1">
      <c r="A116" s="575"/>
      <c r="B116" s="200" t="s">
        <v>467</v>
      </c>
      <c r="C116" s="96" t="s">
        <v>383</v>
      </c>
      <c r="D116" s="197"/>
      <c r="E116" s="197"/>
      <c r="F116" s="197"/>
      <c r="G116" s="197"/>
      <c r="H116" s="197"/>
      <c r="I116" s="197"/>
      <c r="J116" s="197"/>
      <c r="K116" s="197"/>
      <c r="L116" s="190"/>
      <c r="M116" s="201"/>
      <c r="N116" s="192"/>
      <c r="O116" s="288"/>
      <c r="P116" s="305"/>
      <c r="Q116" s="344"/>
      <c r="R116" s="305"/>
      <c r="S116" s="344"/>
      <c r="T116" s="305">
        <v>1</v>
      </c>
      <c r="U116" s="344"/>
      <c r="V116" s="305">
        <v>1</v>
      </c>
      <c r="W116" s="344"/>
      <c r="X116" s="305">
        <v>1</v>
      </c>
      <c r="Y116" s="344"/>
      <c r="Z116" s="305">
        <v>1</v>
      </c>
      <c r="AA116" s="319"/>
      <c r="AB116" s="305">
        <v>1</v>
      </c>
      <c r="AC116" s="344"/>
      <c r="AD116" s="305">
        <v>1</v>
      </c>
      <c r="AE116" s="344"/>
      <c r="AF116" s="305">
        <v>1</v>
      </c>
      <c r="AG116" s="301"/>
      <c r="AH116" s="295"/>
      <c r="AI116" s="8"/>
      <c r="AJ116" s="8"/>
      <c r="AK116" s="9"/>
    </row>
    <row r="117" spans="1:37" ht="55.5" customHeight="1">
      <c r="A117" s="577"/>
      <c r="B117" s="200" t="s">
        <v>468</v>
      </c>
      <c r="C117" s="96" t="s">
        <v>1040</v>
      </c>
      <c r="D117" s="197"/>
      <c r="E117" s="197"/>
      <c r="F117" s="197"/>
      <c r="G117" s="197"/>
      <c r="H117" s="197"/>
      <c r="I117" s="197"/>
      <c r="J117" s="197"/>
      <c r="K117" s="197"/>
      <c r="L117" s="197"/>
      <c r="M117" s="197"/>
      <c r="N117" s="192"/>
      <c r="O117" s="273"/>
      <c r="P117" s="305">
        <v>1</v>
      </c>
      <c r="Q117" s="309"/>
      <c r="R117" s="305">
        <v>1</v>
      </c>
      <c r="S117" s="309"/>
      <c r="T117" s="305">
        <v>1</v>
      </c>
      <c r="U117" s="309"/>
      <c r="V117" s="305">
        <v>1</v>
      </c>
      <c r="W117" s="309"/>
      <c r="X117" s="305">
        <v>1</v>
      </c>
      <c r="Y117" s="309"/>
      <c r="Z117" s="305">
        <v>1</v>
      </c>
      <c r="AA117" s="305"/>
      <c r="AB117" s="305">
        <v>1</v>
      </c>
      <c r="AC117" s="305"/>
      <c r="AD117" s="305">
        <v>1</v>
      </c>
      <c r="AE117" s="305"/>
      <c r="AF117" s="305">
        <v>1</v>
      </c>
      <c r="AG117" s="322"/>
      <c r="AH117" s="295"/>
      <c r="AI117" s="8"/>
      <c r="AJ117" s="8"/>
      <c r="AK117" s="9"/>
    </row>
    <row r="118" spans="1:37" s="262" customFormat="1" ht="75.650000000000006" customHeight="1">
      <c r="A118" s="600" t="s">
        <v>469</v>
      </c>
      <c r="B118" s="263" t="s">
        <v>470</v>
      </c>
      <c r="C118" s="258" t="s">
        <v>471</v>
      </c>
      <c r="D118" s="197"/>
      <c r="E118" s="197"/>
      <c r="F118" s="197"/>
      <c r="G118" s="197"/>
      <c r="H118" s="197"/>
      <c r="I118" s="197"/>
      <c r="J118" s="197"/>
      <c r="K118" s="197"/>
      <c r="L118" s="197"/>
      <c r="M118" s="197"/>
      <c r="N118" s="192"/>
      <c r="O118" s="273"/>
      <c r="P118" s="306"/>
      <c r="Q118" s="309"/>
      <c r="R118" s="306"/>
      <c r="S118" s="309"/>
      <c r="T118" s="306"/>
      <c r="U118" s="309"/>
      <c r="V118" s="306">
        <v>1</v>
      </c>
      <c r="W118" s="309"/>
      <c r="X118" s="305"/>
      <c r="Y118" s="309"/>
      <c r="Z118" s="306"/>
      <c r="AA118" s="319"/>
      <c r="AB118" s="322"/>
      <c r="AC118" s="322"/>
      <c r="AD118" s="322"/>
      <c r="AE118" s="322"/>
      <c r="AF118" s="322"/>
      <c r="AG118" s="322"/>
      <c r="AH118" s="297" t="s">
        <v>1009</v>
      </c>
      <c r="AI118" s="276"/>
      <c r="AJ118" s="276"/>
      <c r="AK118" s="277"/>
    </row>
    <row r="119" spans="1:37" ht="55.5" customHeight="1">
      <c r="A119" s="601"/>
      <c r="B119" s="200" t="s">
        <v>472</v>
      </c>
      <c r="C119" s="96" t="s">
        <v>365</v>
      </c>
      <c r="D119" s="197"/>
      <c r="E119" s="197"/>
      <c r="F119" s="197"/>
      <c r="G119" s="197"/>
      <c r="H119" s="197"/>
      <c r="I119" s="197"/>
      <c r="J119" s="197"/>
      <c r="K119" s="197"/>
      <c r="L119" s="197"/>
      <c r="M119" s="197"/>
      <c r="N119" s="192"/>
      <c r="O119" s="273"/>
      <c r="P119" s="300"/>
      <c r="Q119" s="302"/>
      <c r="R119" s="300"/>
      <c r="S119" s="302"/>
      <c r="T119" s="300"/>
      <c r="U119" s="302"/>
      <c r="V119" s="300"/>
      <c r="W119" s="302"/>
      <c r="X119" s="304">
        <v>1</v>
      </c>
      <c r="Y119" s="302"/>
      <c r="Z119" s="300"/>
      <c r="AA119" s="316"/>
      <c r="AB119" s="301"/>
      <c r="AC119" s="301"/>
      <c r="AD119" s="301"/>
      <c r="AE119" s="301"/>
      <c r="AF119" s="301"/>
      <c r="AG119" s="301"/>
      <c r="AH119" s="291" t="s">
        <v>1001</v>
      </c>
      <c r="AI119" s="8"/>
      <c r="AJ119" s="8"/>
      <c r="AK119" s="9"/>
    </row>
    <row r="120" spans="1:37" s="262" customFormat="1" ht="78.650000000000006" customHeight="1">
      <c r="A120" s="602"/>
      <c r="B120" s="257" t="s">
        <v>473</v>
      </c>
      <c r="C120" s="258" t="s">
        <v>399</v>
      </c>
      <c r="D120" s="197"/>
      <c r="E120" s="197"/>
      <c r="F120" s="197"/>
      <c r="G120" s="197"/>
      <c r="H120" s="197"/>
      <c r="I120" s="197"/>
      <c r="J120" s="197"/>
      <c r="K120" s="197"/>
      <c r="L120" s="197"/>
      <c r="M120" s="197"/>
      <c r="N120" s="192"/>
      <c r="O120" s="273"/>
      <c r="P120" s="306"/>
      <c r="Q120" s="309"/>
      <c r="R120" s="305"/>
      <c r="S120" s="309"/>
      <c r="T120" s="306"/>
      <c r="U120" s="309"/>
      <c r="V120" s="306"/>
      <c r="W120" s="309"/>
      <c r="X120" s="306">
        <v>1</v>
      </c>
      <c r="Y120" s="309"/>
      <c r="Z120" s="306"/>
      <c r="AA120" s="319"/>
      <c r="AB120" s="322"/>
      <c r="AC120" s="322"/>
      <c r="AD120" s="322"/>
      <c r="AE120" s="322"/>
      <c r="AF120" s="322"/>
      <c r="AG120" s="322"/>
      <c r="AH120" s="296" t="s">
        <v>1010</v>
      </c>
      <c r="AI120" s="260"/>
      <c r="AJ120" s="260"/>
      <c r="AK120" s="264"/>
    </row>
    <row r="121" spans="1:37" s="262" customFormat="1" ht="71.5" customHeight="1">
      <c r="A121" s="602"/>
      <c r="B121" s="263" t="s">
        <v>1055</v>
      </c>
      <c r="C121" s="258" t="s">
        <v>399</v>
      </c>
      <c r="D121" s="197"/>
      <c r="E121" s="197"/>
      <c r="F121" s="197"/>
      <c r="G121" s="197"/>
      <c r="H121" s="197"/>
      <c r="I121" s="197"/>
      <c r="J121" s="197"/>
      <c r="K121" s="197"/>
      <c r="L121" s="197"/>
      <c r="M121" s="197"/>
      <c r="N121" s="192"/>
      <c r="O121" s="273"/>
      <c r="P121" s="306"/>
      <c r="Q121" s="309"/>
      <c r="R121" s="306">
        <v>1</v>
      </c>
      <c r="S121" s="309"/>
      <c r="T121" s="305"/>
      <c r="U121" s="309"/>
      <c r="V121" s="306"/>
      <c r="W121" s="309"/>
      <c r="X121" s="306"/>
      <c r="Y121" s="309"/>
      <c r="Z121" s="306"/>
      <c r="AA121" s="319"/>
      <c r="AB121" s="322"/>
      <c r="AC121" s="322"/>
      <c r="AD121" s="322"/>
      <c r="AE121" s="322"/>
      <c r="AF121" s="322"/>
      <c r="AG121" s="322"/>
      <c r="AH121" s="296" t="s">
        <v>1011</v>
      </c>
      <c r="AI121" s="260"/>
      <c r="AJ121" s="260"/>
      <c r="AK121" s="264"/>
    </row>
    <row r="122" spans="1:37" s="262" customFormat="1" ht="58.5" customHeight="1">
      <c r="A122" s="602"/>
      <c r="B122" s="263" t="s">
        <v>1056</v>
      </c>
      <c r="C122" s="258" t="s">
        <v>136</v>
      </c>
      <c r="D122" s="197"/>
      <c r="E122" s="197"/>
      <c r="F122" s="197"/>
      <c r="G122" s="197"/>
      <c r="H122" s="197"/>
      <c r="I122" s="197"/>
      <c r="J122" s="190"/>
      <c r="K122" s="190"/>
      <c r="L122" s="190"/>
      <c r="M122" s="190"/>
      <c r="N122" s="192"/>
      <c r="O122" s="278"/>
      <c r="P122" s="306">
        <v>1</v>
      </c>
      <c r="Q122" s="307"/>
      <c r="R122" s="305"/>
      <c r="S122" s="307"/>
      <c r="T122" s="306"/>
      <c r="U122" s="307"/>
      <c r="V122" s="306"/>
      <c r="W122" s="307"/>
      <c r="X122" s="306"/>
      <c r="Y122" s="307"/>
      <c r="Z122" s="306"/>
      <c r="AA122" s="318"/>
      <c r="AB122" s="322"/>
      <c r="AC122" s="322"/>
      <c r="AD122" s="322"/>
      <c r="AE122" s="322"/>
      <c r="AF122" s="322"/>
      <c r="AG122" s="322"/>
      <c r="AH122" s="296"/>
      <c r="AI122" s="260"/>
      <c r="AJ122" s="260"/>
      <c r="AK122" s="264"/>
    </row>
    <row r="123" spans="1:37" s="262" customFormat="1" ht="58.5" customHeight="1">
      <c r="A123" s="602"/>
      <c r="B123" s="263" t="s">
        <v>474</v>
      </c>
      <c r="C123" s="258" t="s">
        <v>136</v>
      </c>
      <c r="D123" s="197"/>
      <c r="E123" s="197"/>
      <c r="F123" s="197"/>
      <c r="G123" s="197"/>
      <c r="H123" s="197"/>
      <c r="I123" s="197"/>
      <c r="J123" s="190"/>
      <c r="K123" s="197"/>
      <c r="L123" s="197"/>
      <c r="M123" s="197"/>
      <c r="N123" s="192"/>
      <c r="O123" s="273"/>
      <c r="P123" s="306"/>
      <c r="Q123" s="309"/>
      <c r="R123" s="305">
        <v>1</v>
      </c>
      <c r="S123" s="309"/>
      <c r="T123" s="305">
        <v>1</v>
      </c>
      <c r="U123" s="309"/>
      <c r="V123" s="305">
        <v>1</v>
      </c>
      <c r="W123" s="309"/>
      <c r="X123" s="305">
        <v>1</v>
      </c>
      <c r="Y123" s="309"/>
      <c r="Z123" s="305">
        <v>1</v>
      </c>
      <c r="AA123" s="305"/>
      <c r="AB123" s="305">
        <v>1</v>
      </c>
      <c r="AC123" s="305"/>
      <c r="AD123" s="305">
        <v>1</v>
      </c>
      <c r="AE123" s="305"/>
      <c r="AF123" s="305">
        <v>1</v>
      </c>
      <c r="AG123" s="322"/>
      <c r="AH123" s="296"/>
      <c r="AI123" s="260"/>
      <c r="AJ123" s="260"/>
      <c r="AK123" s="264"/>
    </row>
    <row r="124" spans="1:37" ht="39" customHeight="1">
      <c r="A124" s="601"/>
      <c r="B124" s="200" t="s">
        <v>475</v>
      </c>
      <c r="C124" s="96" t="s">
        <v>136</v>
      </c>
      <c r="D124" s="197"/>
      <c r="E124" s="197"/>
      <c r="F124" s="197"/>
      <c r="G124" s="197"/>
      <c r="H124" s="197"/>
      <c r="I124" s="197"/>
      <c r="J124" s="190"/>
      <c r="K124" s="190"/>
      <c r="L124" s="190"/>
      <c r="M124" s="190"/>
      <c r="N124" s="192"/>
      <c r="O124" s="278"/>
      <c r="P124" s="304">
        <v>1</v>
      </c>
      <c r="Q124" s="308"/>
      <c r="R124" s="306"/>
      <c r="S124" s="307"/>
      <c r="T124" s="306"/>
      <c r="U124" s="308"/>
      <c r="V124" s="300"/>
      <c r="W124" s="308"/>
      <c r="X124" s="300"/>
      <c r="Y124" s="308"/>
      <c r="Z124" s="300"/>
      <c r="AA124" s="317"/>
      <c r="AB124" s="301"/>
      <c r="AC124" s="301"/>
      <c r="AD124" s="301"/>
      <c r="AE124" s="301"/>
      <c r="AF124" s="301"/>
      <c r="AG124" s="301"/>
      <c r="AH124" s="295"/>
      <c r="AI124" s="8"/>
      <c r="AJ124" s="8"/>
      <c r="AK124" s="9"/>
    </row>
    <row r="125" spans="1:37" ht="39" customHeight="1">
      <c r="A125" s="601"/>
      <c r="B125" s="200" t="s">
        <v>476</v>
      </c>
      <c r="C125" s="96" t="s">
        <v>136</v>
      </c>
      <c r="D125" s="197"/>
      <c r="E125" s="197"/>
      <c r="F125" s="197"/>
      <c r="G125" s="197"/>
      <c r="H125" s="197"/>
      <c r="I125" s="197"/>
      <c r="J125" s="190"/>
      <c r="K125" s="190"/>
      <c r="L125" s="190"/>
      <c r="M125" s="190"/>
      <c r="N125" s="192"/>
      <c r="O125" s="278"/>
      <c r="P125" s="304"/>
      <c r="Q125" s="308"/>
      <c r="R125" s="305">
        <v>1</v>
      </c>
      <c r="S125" s="309"/>
      <c r="T125" s="305">
        <v>1</v>
      </c>
      <c r="U125" s="309"/>
      <c r="V125" s="305">
        <v>1</v>
      </c>
      <c r="W125" s="309"/>
      <c r="X125" s="305">
        <v>1</v>
      </c>
      <c r="Y125" s="309"/>
      <c r="Z125" s="305">
        <v>1</v>
      </c>
      <c r="AA125" s="305"/>
      <c r="AB125" s="305">
        <v>1</v>
      </c>
      <c r="AC125" s="305"/>
      <c r="AD125" s="305">
        <v>1</v>
      </c>
      <c r="AE125" s="305"/>
      <c r="AF125" s="305">
        <v>1</v>
      </c>
      <c r="AG125" s="301"/>
      <c r="AH125" s="295"/>
      <c r="AI125" s="8"/>
      <c r="AJ125" s="8"/>
      <c r="AK125" s="9"/>
    </row>
    <row r="126" spans="1:37" ht="58.5" customHeight="1">
      <c r="A126" s="601"/>
      <c r="B126" s="200" t="s">
        <v>477</v>
      </c>
      <c r="C126" s="96" t="s">
        <v>136</v>
      </c>
      <c r="D126" s="197"/>
      <c r="E126" s="197"/>
      <c r="F126" s="197"/>
      <c r="G126" s="197"/>
      <c r="H126" s="197"/>
      <c r="I126" s="197"/>
      <c r="J126" s="190"/>
      <c r="K126" s="197"/>
      <c r="L126" s="197"/>
      <c r="M126" s="197"/>
      <c r="N126" s="192"/>
      <c r="O126" s="273"/>
      <c r="P126" s="304">
        <v>1</v>
      </c>
      <c r="Q126" s="309"/>
      <c r="R126" s="306"/>
      <c r="S126" s="309"/>
      <c r="T126" s="306"/>
      <c r="U126" s="309"/>
      <c r="V126" s="306"/>
      <c r="W126" s="302"/>
      <c r="X126" s="300"/>
      <c r="Y126" s="302"/>
      <c r="Z126" s="300"/>
      <c r="AA126" s="316"/>
      <c r="AB126" s="301"/>
      <c r="AC126" s="301"/>
      <c r="AD126" s="301"/>
      <c r="AE126" s="301"/>
      <c r="AF126" s="301"/>
      <c r="AG126" s="301"/>
      <c r="AH126" s="291" t="s">
        <v>1012</v>
      </c>
      <c r="AI126" s="8"/>
      <c r="AJ126" s="8"/>
      <c r="AK126" s="9"/>
    </row>
    <row r="127" spans="1:37" ht="60" customHeight="1">
      <c r="A127" s="601"/>
      <c r="B127" s="200" t="s">
        <v>478</v>
      </c>
      <c r="C127" s="96" t="s">
        <v>136</v>
      </c>
      <c r="D127" s="197"/>
      <c r="E127" s="197"/>
      <c r="F127" s="197"/>
      <c r="G127" s="197"/>
      <c r="H127" s="197"/>
      <c r="I127" s="197"/>
      <c r="J127" s="190"/>
      <c r="K127" s="190"/>
      <c r="L127" s="190"/>
      <c r="M127" s="190"/>
      <c r="N127" s="192"/>
      <c r="O127" s="278"/>
      <c r="P127" s="304"/>
      <c r="Q127" s="307"/>
      <c r="R127" s="305">
        <v>1</v>
      </c>
      <c r="S127" s="309"/>
      <c r="T127" s="305">
        <v>1</v>
      </c>
      <c r="U127" s="309"/>
      <c r="V127" s="305">
        <v>1</v>
      </c>
      <c r="W127" s="309"/>
      <c r="X127" s="305">
        <v>1</v>
      </c>
      <c r="Y127" s="309"/>
      <c r="Z127" s="305">
        <v>1</v>
      </c>
      <c r="AA127" s="305"/>
      <c r="AB127" s="305">
        <v>1</v>
      </c>
      <c r="AC127" s="305"/>
      <c r="AD127" s="305">
        <v>1</v>
      </c>
      <c r="AE127" s="305"/>
      <c r="AF127" s="305">
        <v>1</v>
      </c>
      <c r="AG127" s="301"/>
      <c r="AH127" s="291"/>
      <c r="AI127" s="8"/>
      <c r="AJ127" s="8"/>
      <c r="AK127" s="9"/>
    </row>
    <row r="128" spans="1:37" ht="78" customHeight="1">
      <c r="A128" s="601"/>
      <c r="B128" s="200" t="s">
        <v>479</v>
      </c>
      <c r="C128" s="96" t="s">
        <v>136</v>
      </c>
      <c r="D128" s="197"/>
      <c r="E128" s="197"/>
      <c r="F128" s="197"/>
      <c r="G128" s="197"/>
      <c r="H128" s="197"/>
      <c r="I128" s="197"/>
      <c r="J128" s="190"/>
      <c r="K128" s="190"/>
      <c r="L128" s="190"/>
      <c r="M128" s="190"/>
      <c r="N128" s="192"/>
      <c r="O128" s="278"/>
      <c r="P128" s="304">
        <v>1</v>
      </c>
      <c r="Q128" s="307"/>
      <c r="R128" s="305">
        <v>1</v>
      </c>
      <c r="S128" s="309"/>
      <c r="T128" s="305">
        <v>1</v>
      </c>
      <c r="U128" s="309"/>
      <c r="V128" s="305">
        <v>1</v>
      </c>
      <c r="W128" s="309"/>
      <c r="X128" s="305">
        <v>1</v>
      </c>
      <c r="Y128" s="309"/>
      <c r="Z128" s="305">
        <v>1</v>
      </c>
      <c r="AA128" s="305"/>
      <c r="AB128" s="305">
        <v>1</v>
      </c>
      <c r="AC128" s="305"/>
      <c r="AD128" s="305">
        <v>1</v>
      </c>
      <c r="AE128" s="305"/>
      <c r="AF128" s="305">
        <v>1</v>
      </c>
      <c r="AG128" s="301"/>
      <c r="AH128" s="291" t="s">
        <v>1013</v>
      </c>
      <c r="AI128" s="8"/>
      <c r="AJ128" s="8"/>
      <c r="AK128" s="9"/>
    </row>
    <row r="129" spans="1:37" ht="63.65" customHeight="1">
      <c r="A129" s="601"/>
      <c r="B129" s="200" t="s">
        <v>966</v>
      </c>
      <c r="C129" s="96" t="s">
        <v>967</v>
      </c>
      <c r="D129" s="197"/>
      <c r="E129" s="197"/>
      <c r="F129" s="197"/>
      <c r="G129" s="197"/>
      <c r="H129" s="197"/>
      <c r="I129" s="197"/>
      <c r="J129" s="190"/>
      <c r="K129" s="190"/>
      <c r="L129" s="190"/>
      <c r="M129" s="190"/>
      <c r="N129" s="192"/>
      <c r="O129" s="278"/>
      <c r="P129" s="300">
        <v>1</v>
      </c>
      <c r="Q129" s="308"/>
      <c r="R129" s="300"/>
      <c r="S129" s="308"/>
      <c r="T129" s="304"/>
      <c r="U129" s="308"/>
      <c r="V129" s="300"/>
      <c r="W129" s="308"/>
      <c r="X129" s="300"/>
      <c r="Y129" s="308"/>
      <c r="Z129" s="300"/>
      <c r="AA129" s="318"/>
      <c r="AB129" s="301"/>
      <c r="AC129" s="301"/>
      <c r="AD129" s="301"/>
      <c r="AE129" s="301"/>
      <c r="AF129" s="301"/>
      <c r="AG129" s="301"/>
      <c r="AH129" s="291" t="s">
        <v>1014</v>
      </c>
      <c r="AI129" s="8"/>
      <c r="AJ129" s="8"/>
      <c r="AK129" s="9"/>
    </row>
    <row r="130" spans="1:37" ht="39" customHeight="1">
      <c r="A130" s="601"/>
      <c r="B130" s="200" t="s">
        <v>480</v>
      </c>
      <c r="C130" s="96" t="s">
        <v>136</v>
      </c>
      <c r="D130" s="197"/>
      <c r="E130" s="197"/>
      <c r="F130" s="197"/>
      <c r="G130" s="197"/>
      <c r="H130" s="197"/>
      <c r="I130" s="197"/>
      <c r="J130" s="202"/>
      <c r="K130" s="197"/>
      <c r="L130" s="190"/>
      <c r="M130" s="197"/>
      <c r="N130" s="192"/>
      <c r="O130" s="273"/>
      <c r="P130" s="311"/>
      <c r="Q130" s="312"/>
      <c r="R130" s="300">
        <v>1</v>
      </c>
      <c r="S130" s="302"/>
      <c r="T130" s="300"/>
      <c r="U130" s="302"/>
      <c r="V130" s="300"/>
      <c r="W130" s="302"/>
      <c r="X130" s="300"/>
      <c r="Y130" s="302"/>
      <c r="Z130" s="300"/>
      <c r="AA130" s="319"/>
      <c r="AB130" s="301"/>
      <c r="AC130" s="301"/>
      <c r="AD130" s="301"/>
      <c r="AE130" s="301"/>
      <c r="AF130" s="301"/>
      <c r="AG130" s="301"/>
      <c r="AH130" s="291" t="s">
        <v>1029</v>
      </c>
      <c r="AI130" s="8"/>
      <c r="AJ130" s="8"/>
      <c r="AK130" s="9"/>
    </row>
    <row r="131" spans="1:37" ht="39" customHeight="1">
      <c r="A131" s="601"/>
      <c r="B131" s="200" t="s">
        <v>481</v>
      </c>
      <c r="C131" s="96" t="s">
        <v>482</v>
      </c>
      <c r="D131" s="197"/>
      <c r="E131" s="197"/>
      <c r="F131" s="197"/>
      <c r="G131" s="197"/>
      <c r="H131" s="197"/>
      <c r="I131" s="197"/>
      <c r="J131" s="202"/>
      <c r="K131" s="197"/>
      <c r="L131" s="190"/>
      <c r="M131" s="197"/>
      <c r="N131" s="192"/>
      <c r="O131" s="273"/>
      <c r="P131" s="304">
        <v>1</v>
      </c>
      <c r="Q131" s="307"/>
      <c r="R131" s="305">
        <v>1</v>
      </c>
      <c r="S131" s="309"/>
      <c r="T131" s="305">
        <v>1</v>
      </c>
      <c r="U131" s="309"/>
      <c r="V131" s="305">
        <v>1</v>
      </c>
      <c r="W131" s="309"/>
      <c r="X131" s="305">
        <v>1</v>
      </c>
      <c r="Y131" s="309"/>
      <c r="Z131" s="305">
        <v>1</v>
      </c>
      <c r="AA131" s="305"/>
      <c r="AB131" s="305">
        <v>1</v>
      </c>
      <c r="AC131" s="305"/>
      <c r="AD131" s="305">
        <v>1</v>
      </c>
      <c r="AE131" s="305"/>
      <c r="AF131" s="305">
        <v>1</v>
      </c>
      <c r="AG131" s="301"/>
      <c r="AH131" s="295"/>
      <c r="AI131" s="8"/>
      <c r="AJ131" s="8"/>
      <c r="AK131" s="9"/>
    </row>
    <row r="132" spans="1:37" ht="78" customHeight="1">
      <c r="A132" s="603"/>
      <c r="B132" s="200" t="s">
        <v>483</v>
      </c>
      <c r="C132" s="96" t="s">
        <v>484</v>
      </c>
      <c r="D132" s="203"/>
      <c r="E132" s="203"/>
      <c r="F132" s="203"/>
      <c r="G132" s="203"/>
      <c r="H132" s="203"/>
      <c r="I132" s="203"/>
      <c r="J132" s="203"/>
      <c r="K132" s="203"/>
      <c r="L132" s="203"/>
      <c r="M132" s="203"/>
      <c r="N132" s="203"/>
      <c r="O132" s="289"/>
      <c r="P132" s="304">
        <v>1</v>
      </c>
      <c r="Q132" s="307"/>
      <c r="R132" s="305">
        <v>1</v>
      </c>
      <c r="S132" s="309"/>
      <c r="T132" s="305">
        <v>1</v>
      </c>
      <c r="U132" s="309"/>
      <c r="V132" s="305">
        <v>1</v>
      </c>
      <c r="W132" s="309"/>
      <c r="X132" s="305">
        <v>1</v>
      </c>
      <c r="Y132" s="309"/>
      <c r="Z132" s="305">
        <v>1</v>
      </c>
      <c r="AA132" s="305"/>
      <c r="AB132" s="305">
        <v>1</v>
      </c>
      <c r="AC132" s="305"/>
      <c r="AD132" s="305">
        <v>1</v>
      </c>
      <c r="AE132" s="305"/>
      <c r="AF132" s="305">
        <v>1</v>
      </c>
      <c r="AG132" s="301"/>
      <c r="AH132" s="295"/>
      <c r="AI132" s="11"/>
      <c r="AJ132" s="11"/>
      <c r="AK132" s="12"/>
    </row>
  </sheetData>
  <mergeCells count="37">
    <mergeCell ref="AI24:AM24"/>
    <mergeCell ref="AI28:AL28"/>
    <mergeCell ref="A118:A132"/>
    <mergeCell ref="A12:A15"/>
    <mergeCell ref="X14:Y14"/>
    <mergeCell ref="J13:O13"/>
    <mergeCell ref="P13:U13"/>
    <mergeCell ref="L14:M14"/>
    <mergeCell ref="V13:AA13"/>
    <mergeCell ref="D12:AG12"/>
    <mergeCell ref="D13:I13"/>
    <mergeCell ref="D14:E14"/>
    <mergeCell ref="F14:G14"/>
    <mergeCell ref="H14:I14"/>
    <mergeCell ref="Z14:AA14"/>
    <mergeCell ref="A44:A53"/>
    <mergeCell ref="A54:A117"/>
    <mergeCell ref="AG1:AH2"/>
    <mergeCell ref="AG3:AH4"/>
    <mergeCell ref="AG5:AH6"/>
    <mergeCell ref="A1:B6"/>
    <mergeCell ref="C1:AF3"/>
    <mergeCell ref="C4:AF6"/>
    <mergeCell ref="B11:C11"/>
    <mergeCell ref="AH12:AH13"/>
    <mergeCell ref="N14:O14"/>
    <mergeCell ref="P14:Q14"/>
    <mergeCell ref="R14:S14"/>
    <mergeCell ref="T14:U14"/>
    <mergeCell ref="B12:C14"/>
    <mergeCell ref="J14:K14"/>
    <mergeCell ref="A16:A43"/>
    <mergeCell ref="V14:W14"/>
    <mergeCell ref="AB13:AG13"/>
    <mergeCell ref="AB14:AC14"/>
    <mergeCell ref="AD14:AE14"/>
    <mergeCell ref="AF14:AG14"/>
  </mergeCells>
  <pageMargins left="0.19685" right="0.19685" top="0.748031" bottom="0.748031" header="0.31496099999999999" footer="0.31496099999999999"/>
  <pageSetup orientation="portrait"/>
  <headerFooter>
    <oddFooter>&amp;C&amp;"Helvetica Neue,Regular"&amp;12&amp;K000000&amp;P</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4"/>
  <sheetViews>
    <sheetView showGridLines="0" topLeftCell="A10" workbookViewId="0">
      <selection activeCell="F26" sqref="F26"/>
    </sheetView>
  </sheetViews>
  <sheetFormatPr baseColWidth="10" defaultColWidth="10.81640625" defaultRowHeight="15" customHeight="1"/>
  <cols>
    <col min="1" max="1" width="33.08984375" style="368" customWidth="1"/>
    <col min="2" max="2" width="48.81640625" style="368" customWidth="1"/>
    <col min="3" max="3" width="19.453125" style="368" customWidth="1"/>
    <col min="4" max="30" width="10.81640625" style="368" customWidth="1"/>
    <col min="31" max="16384" width="10.81640625" style="368"/>
  </cols>
  <sheetData>
    <row r="1" spans="1:29" ht="13.5" customHeight="1">
      <c r="A1" s="418" t="s">
        <v>0</v>
      </c>
      <c r="B1" s="419"/>
      <c r="C1" s="420" t="s">
        <v>1</v>
      </c>
      <c r="D1" s="421"/>
      <c r="E1" s="421"/>
      <c r="F1" s="421"/>
      <c r="G1" s="421"/>
      <c r="H1" s="421"/>
      <c r="I1" s="421"/>
      <c r="J1" s="421"/>
      <c r="K1" s="421"/>
      <c r="L1" s="421"/>
      <c r="M1" s="421"/>
      <c r="N1" s="421"/>
      <c r="O1" s="421"/>
      <c r="P1" s="421"/>
      <c r="Q1" s="421"/>
      <c r="R1" s="421"/>
      <c r="S1" s="421"/>
      <c r="T1" s="421"/>
      <c r="U1" s="421"/>
      <c r="V1" s="421"/>
      <c r="W1" s="421"/>
      <c r="X1" s="421"/>
      <c r="Y1" s="421"/>
      <c r="Z1" s="421"/>
      <c r="AA1" s="422" t="s">
        <v>2</v>
      </c>
      <c r="AB1" s="423"/>
      <c r="AC1" s="243"/>
    </row>
    <row r="2" spans="1:29" ht="15" customHeight="1">
      <c r="A2" s="419"/>
      <c r="B2" s="419"/>
      <c r="C2" s="421"/>
      <c r="D2" s="421"/>
      <c r="E2" s="421"/>
      <c r="F2" s="421"/>
      <c r="G2" s="421"/>
      <c r="H2" s="421"/>
      <c r="I2" s="421"/>
      <c r="J2" s="421"/>
      <c r="K2" s="421"/>
      <c r="L2" s="421"/>
      <c r="M2" s="421"/>
      <c r="N2" s="421"/>
      <c r="O2" s="421"/>
      <c r="P2" s="421"/>
      <c r="Q2" s="421"/>
      <c r="R2" s="421"/>
      <c r="S2" s="421"/>
      <c r="T2" s="421"/>
      <c r="U2" s="421"/>
      <c r="V2" s="421"/>
      <c r="W2" s="421"/>
      <c r="X2" s="421"/>
      <c r="Y2" s="421"/>
      <c r="Z2" s="421"/>
      <c r="AA2" s="423"/>
      <c r="AB2" s="423"/>
      <c r="AC2" s="243"/>
    </row>
    <row r="3" spans="1:29" ht="15" customHeight="1">
      <c r="A3" s="419"/>
      <c r="B3" s="419"/>
      <c r="C3" s="421"/>
      <c r="D3" s="421"/>
      <c r="E3" s="421"/>
      <c r="F3" s="421"/>
      <c r="G3" s="421"/>
      <c r="H3" s="421"/>
      <c r="I3" s="421"/>
      <c r="J3" s="421"/>
      <c r="K3" s="421"/>
      <c r="L3" s="421"/>
      <c r="M3" s="421"/>
      <c r="N3" s="421"/>
      <c r="O3" s="421"/>
      <c r="P3" s="421"/>
      <c r="Q3" s="421"/>
      <c r="R3" s="421"/>
      <c r="S3" s="421"/>
      <c r="T3" s="421"/>
      <c r="U3" s="421"/>
      <c r="V3" s="421"/>
      <c r="W3" s="421"/>
      <c r="X3" s="421"/>
      <c r="Y3" s="421"/>
      <c r="Z3" s="421"/>
      <c r="AA3" s="424" t="s">
        <v>4</v>
      </c>
      <c r="AB3" s="425"/>
      <c r="AC3" s="243"/>
    </row>
    <row r="4" spans="1:29" ht="15" customHeight="1">
      <c r="A4" s="419"/>
      <c r="B4" s="419"/>
      <c r="C4" s="426" t="s">
        <v>3</v>
      </c>
      <c r="D4" s="427"/>
      <c r="E4" s="427"/>
      <c r="F4" s="427"/>
      <c r="G4" s="427"/>
      <c r="H4" s="427"/>
      <c r="I4" s="427"/>
      <c r="J4" s="427"/>
      <c r="K4" s="427"/>
      <c r="L4" s="427"/>
      <c r="M4" s="427"/>
      <c r="N4" s="427"/>
      <c r="O4" s="427"/>
      <c r="P4" s="427"/>
      <c r="Q4" s="427"/>
      <c r="R4" s="427"/>
      <c r="S4" s="427"/>
      <c r="T4" s="427"/>
      <c r="U4" s="427"/>
      <c r="V4" s="427"/>
      <c r="W4" s="427"/>
      <c r="X4" s="427"/>
      <c r="Y4" s="427"/>
      <c r="Z4" s="427"/>
      <c r="AA4" s="425"/>
      <c r="AB4" s="425"/>
      <c r="AC4" s="243"/>
    </row>
    <row r="5" spans="1:29" ht="15" customHeight="1">
      <c r="A5" s="419"/>
      <c r="B5" s="419"/>
      <c r="C5" s="427"/>
      <c r="D5" s="427"/>
      <c r="E5" s="427"/>
      <c r="F5" s="427"/>
      <c r="G5" s="427"/>
      <c r="H5" s="427"/>
      <c r="I5" s="427"/>
      <c r="J5" s="427"/>
      <c r="K5" s="427"/>
      <c r="L5" s="427"/>
      <c r="M5" s="427"/>
      <c r="N5" s="427"/>
      <c r="O5" s="427"/>
      <c r="P5" s="427"/>
      <c r="Q5" s="427"/>
      <c r="R5" s="427"/>
      <c r="S5" s="427"/>
      <c r="T5" s="427"/>
      <c r="U5" s="427"/>
      <c r="V5" s="427"/>
      <c r="W5" s="427"/>
      <c r="X5" s="427"/>
      <c r="Y5" s="427"/>
      <c r="Z5" s="427"/>
      <c r="AA5" s="424" t="s">
        <v>5</v>
      </c>
      <c r="AB5" s="425"/>
      <c r="AC5" s="243"/>
    </row>
    <row r="6" spans="1:29" ht="15" customHeight="1">
      <c r="A6" s="419"/>
      <c r="B6" s="419"/>
      <c r="C6" s="427"/>
      <c r="D6" s="427"/>
      <c r="E6" s="427"/>
      <c r="F6" s="427"/>
      <c r="G6" s="427"/>
      <c r="H6" s="427"/>
      <c r="I6" s="427"/>
      <c r="J6" s="427"/>
      <c r="K6" s="427"/>
      <c r="L6" s="427"/>
      <c r="M6" s="427"/>
      <c r="N6" s="427"/>
      <c r="O6" s="427"/>
      <c r="P6" s="427"/>
      <c r="Q6" s="427"/>
      <c r="R6" s="427"/>
      <c r="S6" s="427"/>
      <c r="T6" s="427"/>
      <c r="U6" s="427"/>
      <c r="V6" s="427"/>
      <c r="W6" s="427"/>
      <c r="X6" s="427"/>
      <c r="Y6" s="427"/>
      <c r="Z6" s="427"/>
      <c r="AA6" s="425"/>
      <c r="AB6" s="425"/>
      <c r="AC6" s="243"/>
    </row>
    <row r="7" spans="1:29" ht="15" customHeight="1">
      <c r="A7" s="249"/>
      <c r="B7" s="249"/>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39"/>
    </row>
    <row r="8" spans="1:29" ht="15" customHeight="1">
      <c r="A8" s="239"/>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row>
    <row r="9" spans="1:29" ht="15" customHeight="1">
      <c r="A9" s="239"/>
      <c r="B9" s="239"/>
      <c r="C9" s="239"/>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row>
    <row r="10" spans="1:29" ht="15" customHeight="1">
      <c r="A10" s="239"/>
      <c r="B10" s="239"/>
      <c r="C10" s="239"/>
      <c r="D10" s="239"/>
      <c r="E10" s="239"/>
      <c r="F10" s="239"/>
      <c r="G10" s="239"/>
      <c r="H10" s="239"/>
      <c r="I10" s="239"/>
      <c r="J10" s="239"/>
      <c r="K10" s="239"/>
      <c r="L10" s="239"/>
      <c r="M10" s="239"/>
      <c r="N10" s="239"/>
      <c r="O10" s="239"/>
      <c r="P10" s="239"/>
      <c r="Q10" s="239"/>
      <c r="R10" s="239"/>
      <c r="S10" s="239"/>
      <c r="T10" s="239"/>
      <c r="U10" s="239"/>
      <c r="V10" s="239"/>
      <c r="W10" s="239"/>
      <c r="X10" s="239"/>
      <c r="Y10" s="239"/>
      <c r="Z10" s="239"/>
      <c r="AA10" s="239"/>
      <c r="AB10" s="239"/>
      <c r="AC10" s="239"/>
    </row>
    <row r="11" spans="1:29" s="632" customFormat="1" ht="15" customHeight="1">
      <c r="A11" s="634"/>
      <c r="B11" s="634"/>
      <c r="C11" s="634"/>
      <c r="D11" s="634"/>
      <c r="E11" s="634"/>
      <c r="F11" s="634"/>
      <c r="G11" s="634"/>
      <c r="H11" s="634"/>
      <c r="I11" s="634"/>
      <c r="J11" s="634"/>
      <c r="K11" s="634"/>
      <c r="L11" s="634"/>
      <c r="M11" s="634"/>
      <c r="N11" s="634"/>
      <c r="O11" s="634"/>
      <c r="P11" s="634"/>
      <c r="Q11" s="634"/>
      <c r="R11" s="634"/>
      <c r="S11" s="634"/>
      <c r="T11" s="634"/>
      <c r="U11" s="634"/>
      <c r="V11" s="634"/>
      <c r="W11" s="634"/>
      <c r="X11" s="634"/>
      <c r="Y11" s="634"/>
      <c r="Z11" s="634"/>
      <c r="AA11" s="634"/>
      <c r="AB11" s="634"/>
      <c r="AC11" s="634"/>
    </row>
    <row r="12" spans="1:29" s="632" customFormat="1" ht="15" customHeight="1">
      <c r="A12" s="675"/>
      <c r="B12" s="675"/>
      <c r="C12" s="675"/>
      <c r="D12" s="634"/>
      <c r="E12" s="634"/>
      <c r="F12" s="634"/>
      <c r="G12" s="634"/>
      <c r="H12" s="634"/>
      <c r="I12" s="634"/>
      <c r="J12" s="634"/>
      <c r="K12" s="634"/>
      <c r="L12" s="634"/>
      <c r="M12" s="634"/>
      <c r="N12" s="634"/>
      <c r="O12" s="634"/>
      <c r="P12" s="634"/>
      <c r="Q12" s="634"/>
      <c r="R12" s="634"/>
      <c r="S12" s="634"/>
      <c r="T12" s="634"/>
      <c r="U12" s="634"/>
      <c r="V12" s="634"/>
      <c r="W12" s="634"/>
      <c r="X12" s="634"/>
      <c r="Y12" s="634"/>
      <c r="Z12" s="634"/>
      <c r="AA12" s="634"/>
      <c r="AB12" s="634"/>
      <c r="AC12" s="634"/>
    </row>
    <row r="13" spans="1:29" ht="15" customHeight="1">
      <c r="A13" s="208"/>
      <c r="B13" s="209" t="s">
        <v>523</v>
      </c>
      <c r="C13" s="674" cm="1">
        <f t="array" ref="C13">SUM(C14:C34)</f>
        <v>28078970644.988087</v>
      </c>
      <c r="D13" s="243"/>
      <c r="E13" s="239"/>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row>
    <row r="14" spans="1:29" ht="16.5" customHeight="1">
      <c r="A14" s="210" t="s">
        <v>524</v>
      </c>
      <c r="B14" s="210" t="s">
        <v>525</v>
      </c>
      <c r="C14" s="211">
        <f>'15. Flujo de caja '!O15</f>
        <v>21500000000.001537</v>
      </c>
      <c r="D14" s="243"/>
      <c r="E14" s="239"/>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row>
    <row r="15" spans="1:29" ht="16.5" customHeight="1">
      <c r="A15" s="210" t="s">
        <v>526</v>
      </c>
      <c r="B15" s="210" t="s">
        <v>527</v>
      </c>
      <c r="C15" s="211">
        <f>'15. Flujo de caja '!O16</f>
        <v>978999999.99561095</v>
      </c>
      <c r="D15" s="243"/>
      <c r="E15" s="239"/>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row>
    <row r="16" spans="1:29" ht="16.5" customHeight="1">
      <c r="A16" s="210" t="s">
        <v>528</v>
      </c>
      <c r="B16" s="210" t="s">
        <v>529</v>
      </c>
      <c r="C16" s="211">
        <f>'15. Flujo de caja '!P17</f>
        <v>50000000</v>
      </c>
      <c r="D16" s="243"/>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row>
    <row r="17" spans="1:29" ht="16.5" customHeight="1">
      <c r="A17" s="210" t="s">
        <v>530</v>
      </c>
      <c r="B17" s="210" t="s">
        <v>531</v>
      </c>
      <c r="C17" s="211">
        <f>'15. Flujo de caja '!O27</f>
        <v>150000000.00383875</v>
      </c>
      <c r="D17" s="243"/>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row>
    <row r="18" spans="1:29" ht="16.5" customHeight="1">
      <c r="A18" s="210" t="s">
        <v>532</v>
      </c>
      <c r="B18" s="210" t="s">
        <v>533</v>
      </c>
      <c r="C18" s="211">
        <f>'15. Flujo de caja '!O19</f>
        <v>5999999.998248498</v>
      </c>
      <c r="D18" s="243"/>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row>
    <row r="19" spans="1:29" ht="16.5" customHeight="1">
      <c r="A19" s="210" t="s">
        <v>535</v>
      </c>
      <c r="B19" s="210" t="s">
        <v>536</v>
      </c>
      <c r="C19" s="211">
        <f>'15. Flujo de caja '!O21</f>
        <v>1035557440.9960277</v>
      </c>
      <c r="D19" s="243"/>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row>
    <row r="20" spans="1:29" ht="16.5" customHeight="1">
      <c r="A20" s="210" t="s">
        <v>539</v>
      </c>
      <c r="B20" s="210" t="s">
        <v>540</v>
      </c>
      <c r="C20" s="211">
        <f>'15. Flujo de caja '!O24</f>
        <v>99999999.998611748</v>
      </c>
      <c r="D20" s="243"/>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row>
    <row r="21" spans="1:29" ht="16.5" customHeight="1">
      <c r="A21" s="210" t="s">
        <v>541</v>
      </c>
      <c r="B21" s="210" t="s">
        <v>542</v>
      </c>
      <c r="C21" s="211">
        <f>'15. Flujo de caja '!O25</f>
        <v>2000000.0013541486</v>
      </c>
      <c r="D21" s="243"/>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row>
    <row r="22" spans="1:29" ht="16.5" customHeight="1">
      <c r="A22" s="210" t="s">
        <v>543</v>
      </c>
      <c r="B22" s="210" t="s">
        <v>544</v>
      </c>
      <c r="C22" s="211">
        <v>0</v>
      </c>
      <c r="D22" s="243"/>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row>
    <row r="23" spans="1:29" ht="16.5" customHeight="1">
      <c r="A23" s="210" t="s">
        <v>545</v>
      </c>
      <c r="B23" s="210" t="s">
        <v>546</v>
      </c>
      <c r="C23" s="211">
        <f>'15. Flujo de caja '!O27</f>
        <v>150000000.00383875</v>
      </c>
      <c r="D23" s="243"/>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row>
    <row r="24" spans="1:29" ht="16.5" customHeight="1">
      <c r="A24" s="210" t="s">
        <v>547</v>
      </c>
      <c r="B24" s="210" t="s">
        <v>548</v>
      </c>
      <c r="C24" s="211">
        <f>'15. Flujo de caja '!O28</f>
        <v>5999999.9989459701</v>
      </c>
      <c r="D24" s="243"/>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row>
    <row r="25" spans="1:29" ht="16.5" customHeight="1">
      <c r="A25" s="743" t="s">
        <v>549</v>
      </c>
      <c r="B25" s="743" t="s">
        <v>550</v>
      </c>
      <c r="C25" s="744">
        <v>0</v>
      </c>
      <c r="D25" s="243"/>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row>
    <row r="26" spans="1:29" ht="16.5" customHeight="1">
      <c r="A26" s="746" t="s">
        <v>947</v>
      </c>
      <c r="B26" s="746" t="s">
        <v>1161</v>
      </c>
      <c r="C26" s="745">
        <f>'15. Flujo de caja '!O30</f>
        <v>83186108.997263476</v>
      </c>
      <c r="D26" s="36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row>
    <row r="27" spans="1:29" ht="16.5" customHeight="1">
      <c r="A27" s="746" t="s">
        <v>1170</v>
      </c>
      <c r="B27" s="746" t="s">
        <v>1171</v>
      </c>
      <c r="C27" s="745">
        <f>'15. Flujo de caja '!O38</f>
        <v>10227095.008967092</v>
      </c>
      <c r="D27" s="36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row>
    <row r="28" spans="1:29" ht="16.5" customHeight="1">
      <c r="A28" s="746" t="s">
        <v>1196</v>
      </c>
      <c r="B28" s="746" t="s">
        <v>1197</v>
      </c>
      <c r="C28" s="745">
        <f>'15. Flujo de caja '!O51</f>
        <v>53999999.999159016</v>
      </c>
      <c r="D28" s="36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row>
    <row r="29" spans="1:29" ht="16.5" customHeight="1">
      <c r="A29" s="356" t="s">
        <v>1200</v>
      </c>
      <c r="B29" s="356" t="s">
        <v>1201</v>
      </c>
      <c r="C29" s="745" cm="1">
        <f t="array" ref="C29:C34">'15. Flujo de caja '!O54:O59</f>
        <v>120999999.99791013</v>
      </c>
      <c r="D29" s="36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row>
    <row r="30" spans="1:29" ht="16.5" customHeight="1">
      <c r="A30" s="356" t="s">
        <v>1202</v>
      </c>
      <c r="B30" s="356" t="s">
        <v>1203</v>
      </c>
      <c r="C30" s="745">
        <v>42000000.000185072</v>
      </c>
      <c r="D30" s="36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row>
    <row r="31" spans="1:29" ht="16.5" customHeight="1">
      <c r="A31" s="356" t="s">
        <v>1204</v>
      </c>
      <c r="B31" s="356" t="s">
        <v>1205</v>
      </c>
      <c r="C31" s="745">
        <v>3499999999.9950795</v>
      </c>
      <c r="D31" s="36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row>
    <row r="32" spans="1:29" ht="16.5" customHeight="1">
      <c r="A32" s="356" t="s">
        <v>1206</v>
      </c>
      <c r="B32" s="356" t="s">
        <v>1207</v>
      </c>
      <c r="C32" s="745">
        <v>39999999.996921822</v>
      </c>
      <c r="D32" s="36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row>
    <row r="33" spans="1:29" ht="16.5" customHeight="1">
      <c r="A33" s="356" t="s">
        <v>1208</v>
      </c>
      <c r="B33" s="356" t="s">
        <v>1209</v>
      </c>
      <c r="C33" s="745">
        <v>149999999.99789754</v>
      </c>
      <c r="D33" s="36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row>
    <row r="34" spans="1:29" ht="16.5" customHeight="1">
      <c r="A34" s="356" t="s">
        <v>1210</v>
      </c>
      <c r="B34" s="356" t="s">
        <v>1211</v>
      </c>
      <c r="C34" s="745">
        <v>99999999.996686414</v>
      </c>
      <c r="D34" s="36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row>
  </sheetData>
  <mergeCells count="6">
    <mergeCell ref="A1:B6"/>
    <mergeCell ref="C1:Z3"/>
    <mergeCell ref="AA1:AB2"/>
    <mergeCell ref="AA3:AB4"/>
    <mergeCell ref="C4:Z6"/>
    <mergeCell ref="AA5:AB6"/>
  </mergeCells>
  <pageMargins left="0.7" right="0.7" top="0.75" bottom="0.75" header="0.3" footer="0.3"/>
  <pageSetup orientation="portrait"/>
  <headerFooter>
    <oddFooter>&amp;C&amp;"Helvetica Neue,Regular"&amp;12&amp;K000000&amp;P</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102"/>
  <sheetViews>
    <sheetView showGridLines="0" topLeftCell="D4" zoomScale="66" zoomScaleNormal="60" workbookViewId="0">
      <selection activeCell="M16" sqref="M16"/>
    </sheetView>
  </sheetViews>
  <sheetFormatPr baseColWidth="10" defaultColWidth="10.81640625" defaultRowHeight="15" customHeight="1"/>
  <cols>
    <col min="1" max="1" width="10.81640625" style="1" customWidth="1"/>
    <col min="2" max="2" width="37.26953125" style="1" customWidth="1"/>
    <col min="3" max="3" width="10.81640625" style="1" customWidth="1"/>
    <col min="4" max="4" width="86.81640625" style="1" customWidth="1"/>
    <col min="5" max="5" width="26.81640625" style="1" customWidth="1"/>
    <col min="6" max="7" width="13.1796875" style="1" customWidth="1"/>
    <col min="8" max="8" width="13.7265625" style="1" customWidth="1"/>
    <col min="9" max="9" width="26.81640625" style="1" customWidth="1"/>
    <col min="10" max="11" width="25" style="1" customWidth="1"/>
    <col min="12" max="12" width="15.453125" style="1" customWidth="1"/>
    <col min="13" max="13" width="26.81640625" style="1" customWidth="1"/>
    <col min="14" max="30" width="10.81640625" style="1" customWidth="1"/>
    <col min="31" max="16384" width="10.81640625" style="1"/>
  </cols>
  <sheetData>
    <row r="1" spans="1:29" ht="13.5" customHeight="1">
      <c r="A1" s="418" t="s">
        <v>0</v>
      </c>
      <c r="B1" s="419"/>
      <c r="C1" s="420" t="s">
        <v>1</v>
      </c>
      <c r="D1" s="421"/>
      <c r="E1" s="421"/>
      <c r="F1" s="421"/>
      <c r="G1" s="421"/>
      <c r="H1" s="421"/>
      <c r="I1" s="421"/>
      <c r="J1" s="421"/>
      <c r="K1" s="421"/>
      <c r="L1" s="421"/>
      <c r="M1" s="421"/>
      <c r="N1" s="421"/>
      <c r="O1" s="421"/>
      <c r="P1" s="421"/>
      <c r="Q1" s="421"/>
      <c r="R1" s="421"/>
      <c r="S1" s="421"/>
      <c r="T1" s="421"/>
      <c r="U1" s="421"/>
      <c r="V1" s="421"/>
      <c r="W1" s="421"/>
      <c r="X1" s="421"/>
      <c r="Y1" s="421"/>
      <c r="Z1" s="421"/>
      <c r="AA1" s="422" t="s">
        <v>2</v>
      </c>
      <c r="AB1" s="423"/>
      <c r="AC1" s="204"/>
    </row>
    <row r="2" spans="1:29" ht="15" customHeight="1">
      <c r="A2" s="419"/>
      <c r="B2" s="419"/>
      <c r="C2" s="421"/>
      <c r="D2" s="421"/>
      <c r="E2" s="421"/>
      <c r="F2" s="421"/>
      <c r="G2" s="421"/>
      <c r="H2" s="421"/>
      <c r="I2" s="421"/>
      <c r="J2" s="421"/>
      <c r="K2" s="421"/>
      <c r="L2" s="421"/>
      <c r="M2" s="421"/>
      <c r="N2" s="421"/>
      <c r="O2" s="421"/>
      <c r="P2" s="421"/>
      <c r="Q2" s="421"/>
      <c r="R2" s="421"/>
      <c r="S2" s="421"/>
      <c r="T2" s="421"/>
      <c r="U2" s="421"/>
      <c r="V2" s="421"/>
      <c r="W2" s="421"/>
      <c r="X2" s="421"/>
      <c r="Y2" s="421"/>
      <c r="Z2" s="421"/>
      <c r="AA2" s="423"/>
      <c r="AB2" s="423"/>
      <c r="AC2" s="204"/>
    </row>
    <row r="3" spans="1:29" ht="15" customHeight="1">
      <c r="A3" s="419"/>
      <c r="B3" s="419"/>
      <c r="C3" s="421"/>
      <c r="D3" s="421"/>
      <c r="E3" s="421"/>
      <c r="F3" s="421"/>
      <c r="G3" s="421"/>
      <c r="H3" s="421"/>
      <c r="I3" s="421"/>
      <c r="J3" s="421"/>
      <c r="K3" s="421"/>
      <c r="L3" s="421"/>
      <c r="M3" s="421"/>
      <c r="N3" s="421"/>
      <c r="O3" s="421"/>
      <c r="P3" s="421"/>
      <c r="Q3" s="421"/>
      <c r="R3" s="421"/>
      <c r="S3" s="421"/>
      <c r="T3" s="421"/>
      <c r="U3" s="421"/>
      <c r="V3" s="421"/>
      <c r="W3" s="421"/>
      <c r="X3" s="421"/>
      <c r="Y3" s="421"/>
      <c r="Z3" s="421"/>
      <c r="AA3" s="424" t="s">
        <v>4</v>
      </c>
      <c r="AB3" s="425"/>
      <c r="AC3" s="204"/>
    </row>
    <row r="4" spans="1:29" ht="15" customHeight="1">
      <c r="A4" s="419"/>
      <c r="B4" s="419"/>
      <c r="C4" s="426" t="s">
        <v>3</v>
      </c>
      <c r="D4" s="427"/>
      <c r="E4" s="427"/>
      <c r="F4" s="427"/>
      <c r="G4" s="427"/>
      <c r="H4" s="427"/>
      <c r="I4" s="427"/>
      <c r="J4" s="427"/>
      <c r="K4" s="427"/>
      <c r="L4" s="427"/>
      <c r="M4" s="427"/>
      <c r="N4" s="427"/>
      <c r="O4" s="427"/>
      <c r="P4" s="427"/>
      <c r="Q4" s="427"/>
      <c r="R4" s="427"/>
      <c r="S4" s="427"/>
      <c r="T4" s="427"/>
      <c r="U4" s="427"/>
      <c r="V4" s="427"/>
      <c r="W4" s="427"/>
      <c r="X4" s="427"/>
      <c r="Y4" s="427"/>
      <c r="Z4" s="427"/>
      <c r="AA4" s="425"/>
      <c r="AB4" s="425"/>
      <c r="AC4" s="204"/>
    </row>
    <row r="5" spans="1:29" ht="15" customHeight="1">
      <c r="A5" s="419"/>
      <c r="B5" s="419"/>
      <c r="C5" s="427"/>
      <c r="D5" s="427"/>
      <c r="E5" s="427"/>
      <c r="F5" s="427"/>
      <c r="G5" s="427"/>
      <c r="H5" s="427"/>
      <c r="I5" s="427"/>
      <c r="J5" s="427"/>
      <c r="K5" s="427"/>
      <c r="L5" s="427"/>
      <c r="M5" s="427"/>
      <c r="N5" s="427"/>
      <c r="O5" s="427"/>
      <c r="P5" s="427"/>
      <c r="Q5" s="427"/>
      <c r="R5" s="427"/>
      <c r="S5" s="427"/>
      <c r="T5" s="427"/>
      <c r="U5" s="427"/>
      <c r="V5" s="427"/>
      <c r="W5" s="427"/>
      <c r="X5" s="427"/>
      <c r="Y5" s="427"/>
      <c r="Z5" s="427"/>
      <c r="AA5" s="424" t="s">
        <v>5</v>
      </c>
      <c r="AB5" s="425"/>
      <c r="AC5" s="204"/>
    </row>
    <row r="6" spans="1:29" ht="15" customHeight="1">
      <c r="A6" s="419"/>
      <c r="B6" s="419"/>
      <c r="C6" s="427"/>
      <c r="D6" s="427"/>
      <c r="E6" s="427"/>
      <c r="F6" s="427"/>
      <c r="G6" s="427"/>
      <c r="H6" s="427"/>
      <c r="I6" s="427"/>
      <c r="J6" s="427"/>
      <c r="K6" s="427"/>
      <c r="L6" s="427"/>
      <c r="M6" s="427"/>
      <c r="N6" s="427"/>
      <c r="O6" s="427"/>
      <c r="P6" s="427"/>
      <c r="Q6" s="427"/>
      <c r="R6" s="427"/>
      <c r="S6" s="427"/>
      <c r="T6" s="427"/>
      <c r="U6" s="427"/>
      <c r="V6" s="427"/>
      <c r="W6" s="427"/>
      <c r="X6" s="427"/>
      <c r="Y6" s="427"/>
      <c r="Z6" s="427"/>
      <c r="AA6" s="425"/>
      <c r="AB6" s="425"/>
      <c r="AC6" s="204"/>
    </row>
    <row r="7" spans="1:29" ht="15" customHeight="1">
      <c r="A7" s="205"/>
      <c r="B7" s="205"/>
      <c r="C7" s="205"/>
      <c r="D7" s="206"/>
      <c r="E7" s="205"/>
      <c r="F7" s="205"/>
      <c r="G7" s="205"/>
      <c r="H7" s="205"/>
      <c r="I7" s="205"/>
      <c r="J7" s="205"/>
      <c r="K7" s="205"/>
      <c r="L7" s="205"/>
      <c r="M7" s="205"/>
      <c r="N7" s="205"/>
      <c r="O7" s="205"/>
      <c r="P7" s="205"/>
      <c r="Q7" s="205"/>
      <c r="R7" s="205"/>
      <c r="S7" s="205"/>
      <c r="T7" s="205"/>
      <c r="U7" s="205"/>
      <c r="V7" s="205"/>
      <c r="W7" s="205"/>
      <c r="X7" s="205"/>
      <c r="Y7" s="205"/>
      <c r="Z7" s="205"/>
      <c r="AA7" s="205"/>
      <c r="AB7" s="205"/>
      <c r="AC7" s="126"/>
    </row>
    <row r="8" spans="1:29" ht="15" customHeight="1">
      <c r="A8" s="126"/>
      <c r="B8" s="126"/>
      <c r="C8" s="126"/>
      <c r="D8" s="207"/>
      <c r="E8" s="126"/>
      <c r="F8" s="126"/>
      <c r="G8" s="126"/>
      <c r="H8" s="126"/>
      <c r="I8" s="126"/>
      <c r="J8" s="126"/>
      <c r="K8" s="126"/>
      <c r="L8" s="126"/>
      <c r="M8" s="126"/>
      <c r="N8" s="126"/>
      <c r="O8" s="126"/>
      <c r="P8" s="126"/>
      <c r="Q8" s="126"/>
      <c r="R8" s="126"/>
      <c r="S8" s="126"/>
      <c r="T8" s="126"/>
      <c r="U8" s="126"/>
      <c r="V8" s="126"/>
      <c r="W8" s="126"/>
      <c r="X8" s="126"/>
      <c r="Y8" s="126"/>
      <c r="Z8" s="126"/>
      <c r="AA8" s="126"/>
      <c r="AB8" s="126"/>
      <c r="AC8" s="126"/>
    </row>
    <row r="9" spans="1:29" ht="15" customHeight="1">
      <c r="A9" s="126"/>
      <c r="B9" s="126"/>
      <c r="C9" s="126"/>
      <c r="D9" s="207"/>
      <c r="E9" s="126"/>
      <c r="F9" s="126"/>
      <c r="G9" s="126"/>
      <c r="H9" s="126"/>
      <c r="I9" s="126"/>
      <c r="J9" s="126"/>
      <c r="K9" s="126"/>
      <c r="L9" s="126"/>
      <c r="M9" s="126"/>
      <c r="N9" s="126"/>
      <c r="O9" s="126"/>
      <c r="P9" s="126"/>
      <c r="Q9" s="126"/>
      <c r="R9" s="126"/>
      <c r="S9" s="126"/>
      <c r="T9" s="126"/>
      <c r="U9" s="126"/>
      <c r="V9" s="126"/>
      <c r="W9" s="126"/>
      <c r="X9" s="126"/>
      <c r="Y9" s="126"/>
      <c r="Z9" s="126"/>
      <c r="AA9" s="126"/>
      <c r="AB9" s="126"/>
      <c r="AC9" s="126"/>
    </row>
    <row r="10" spans="1:29" ht="15" customHeight="1">
      <c r="A10" s="126"/>
      <c r="B10" s="126"/>
      <c r="C10" s="126"/>
      <c r="D10" s="207"/>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row>
    <row r="11" spans="1:29" ht="15" customHeight="1">
      <c r="A11" s="646"/>
      <c r="B11" s="646"/>
      <c r="C11" s="646"/>
      <c r="D11" s="649"/>
      <c r="E11" s="646"/>
      <c r="F11" s="646"/>
      <c r="G11" s="646"/>
      <c r="H11" s="646"/>
      <c r="I11" s="646"/>
      <c r="J11" s="646"/>
      <c r="K11" s="646"/>
      <c r="L11" s="646"/>
      <c r="M11" s="646"/>
      <c r="N11" s="646"/>
      <c r="O11" s="646"/>
      <c r="P11" s="646"/>
      <c r="Q11" s="646"/>
      <c r="R11" s="646"/>
      <c r="S11" s="646"/>
      <c r="T11" s="646"/>
      <c r="U11" s="646"/>
      <c r="V11" s="646"/>
      <c r="W11" s="646"/>
      <c r="X11" s="646"/>
      <c r="Y11" s="646"/>
      <c r="Z11" s="646"/>
      <c r="AA11" s="646"/>
      <c r="AB11" s="646"/>
      <c r="AC11" s="646"/>
    </row>
    <row r="12" spans="1:29" s="628" customFormat="1" ht="13.5" customHeight="1">
      <c r="A12" s="647"/>
      <c r="B12" s="647"/>
      <c r="C12" s="647"/>
      <c r="D12" s="740" t="s">
        <v>463</v>
      </c>
      <c r="E12" s="741"/>
      <c r="F12" s="741"/>
      <c r="G12" s="741"/>
      <c r="H12" s="741"/>
      <c r="I12" s="741"/>
      <c r="J12" s="741"/>
      <c r="K12" s="741"/>
      <c r="L12" s="741"/>
      <c r="M12" s="741"/>
      <c r="N12" s="647"/>
      <c r="O12" s="647"/>
      <c r="P12" s="647"/>
      <c r="Q12" s="647"/>
      <c r="R12" s="647"/>
      <c r="S12" s="647"/>
      <c r="T12" s="647"/>
      <c r="U12" s="647"/>
      <c r="V12" s="647"/>
      <c r="W12" s="647"/>
      <c r="X12" s="647"/>
      <c r="Y12" s="647"/>
      <c r="Z12" s="647"/>
      <c r="AA12" s="647"/>
      <c r="AB12" s="647"/>
      <c r="AC12" s="647"/>
    </row>
    <row r="13" spans="1:29" s="628" customFormat="1" ht="108.5" customHeight="1">
      <c r="A13" s="647"/>
      <c r="B13" s="647"/>
      <c r="C13" s="647"/>
      <c r="D13" s="630" t="s">
        <v>485</v>
      </c>
      <c r="E13" s="630" t="s">
        <v>486</v>
      </c>
      <c r="F13" s="630" t="s">
        <v>1091</v>
      </c>
      <c r="G13" s="630" t="s">
        <v>1092</v>
      </c>
      <c r="H13" s="630" t="s">
        <v>1093</v>
      </c>
      <c r="I13" s="630" t="s">
        <v>487</v>
      </c>
      <c r="J13" s="630" t="s">
        <v>488</v>
      </c>
      <c r="K13" s="630" t="s">
        <v>489</v>
      </c>
      <c r="L13" s="630" t="s">
        <v>490</v>
      </c>
      <c r="M13" s="630" t="s">
        <v>491</v>
      </c>
      <c r="N13" s="647"/>
      <c r="O13" s="647"/>
      <c r="P13" s="647"/>
      <c r="Q13" s="647"/>
      <c r="R13" s="647"/>
      <c r="S13" s="647"/>
      <c r="T13" s="647"/>
      <c r="U13" s="647"/>
      <c r="V13" s="647"/>
      <c r="W13" s="647"/>
      <c r="X13" s="647"/>
      <c r="Y13" s="647"/>
      <c r="Z13" s="647"/>
      <c r="AA13" s="647"/>
      <c r="AB13" s="647"/>
      <c r="AC13" s="647"/>
    </row>
    <row r="14" spans="1:29" s="628" customFormat="1" ht="18" customHeight="1">
      <c r="A14" s="647"/>
      <c r="B14" s="647"/>
      <c r="C14" s="647"/>
      <c r="D14" s="676" t="s">
        <v>492</v>
      </c>
      <c r="E14" s="677">
        <f>+E15+E94</f>
        <v>60687426462</v>
      </c>
      <c r="F14" s="677">
        <f t="shared" ref="F14:K14" si="0">+F15+F94</f>
        <v>0</v>
      </c>
      <c r="G14" s="677">
        <f t="shared" si="0"/>
        <v>0</v>
      </c>
      <c r="H14" s="677">
        <f t="shared" si="0"/>
        <v>0</v>
      </c>
      <c r="I14" s="677">
        <f t="shared" si="0"/>
        <v>60687426462</v>
      </c>
      <c r="J14" s="677">
        <f t="shared" si="0"/>
        <v>4085954313.9099998</v>
      </c>
      <c r="K14" s="677">
        <f t="shared" si="0"/>
        <v>4085954313.9099998</v>
      </c>
      <c r="L14" s="742">
        <f t="shared" ref="L14:L20" si="1">+K14/M14</f>
        <v>7.2188127955747514E-2</v>
      </c>
      <c r="M14" s="677">
        <f>+M15+M94</f>
        <v>56601472148.089996</v>
      </c>
      <c r="N14" s="647"/>
      <c r="O14" s="647"/>
      <c r="P14" s="647"/>
      <c r="Q14" s="647"/>
      <c r="R14" s="647"/>
      <c r="S14" s="647"/>
      <c r="T14" s="647"/>
      <c r="U14" s="647"/>
      <c r="V14" s="647"/>
      <c r="W14" s="647"/>
      <c r="X14" s="647"/>
      <c r="Y14" s="647"/>
      <c r="Z14" s="647"/>
      <c r="AA14" s="647"/>
      <c r="AB14" s="647"/>
      <c r="AC14" s="647"/>
    </row>
    <row r="15" spans="1:29" s="628" customFormat="1" ht="18" customHeight="1">
      <c r="A15" s="647"/>
      <c r="B15" s="647"/>
      <c r="C15" s="647"/>
      <c r="D15" s="678" t="s">
        <v>493</v>
      </c>
      <c r="E15" s="677">
        <f>+E16</f>
        <v>59586426462</v>
      </c>
      <c r="F15" s="677">
        <f t="shared" ref="F15:K15" si="2">+F16</f>
        <v>0</v>
      </c>
      <c r="G15" s="677">
        <f t="shared" si="2"/>
        <v>0</v>
      </c>
      <c r="H15" s="677">
        <f t="shared" si="2"/>
        <v>0</v>
      </c>
      <c r="I15" s="677">
        <f t="shared" si="2"/>
        <v>59586426462</v>
      </c>
      <c r="J15" s="677">
        <f t="shared" si="2"/>
        <v>3726001406.9099998</v>
      </c>
      <c r="K15" s="677">
        <f t="shared" si="2"/>
        <v>3726001406.9099998</v>
      </c>
      <c r="L15" s="742">
        <f t="shared" si="1"/>
        <v>6.6701988093276904E-2</v>
      </c>
      <c r="M15" s="677">
        <f>+M16</f>
        <v>55860425055.089996</v>
      </c>
      <c r="N15" s="647"/>
      <c r="O15" s="647"/>
      <c r="P15" s="647"/>
      <c r="Q15" s="647"/>
      <c r="R15" s="647"/>
      <c r="S15" s="647"/>
      <c r="T15" s="647"/>
      <c r="U15" s="647"/>
      <c r="V15" s="647"/>
      <c r="W15" s="647"/>
      <c r="X15" s="647"/>
      <c r="Y15" s="647"/>
      <c r="Z15" s="647"/>
      <c r="AA15" s="647"/>
      <c r="AB15" s="647"/>
      <c r="AC15" s="647"/>
    </row>
    <row r="16" spans="1:29" s="628" customFormat="1" ht="19.5" customHeight="1">
      <c r="A16" s="647"/>
      <c r="B16" s="648"/>
      <c r="C16" s="648"/>
      <c r="D16" s="679" t="s">
        <v>494</v>
      </c>
      <c r="E16" s="677">
        <f>+E17+E65</f>
        <v>59586426462</v>
      </c>
      <c r="F16" s="677">
        <f t="shared" ref="F16:K16" si="3">+F17+F65</f>
        <v>0</v>
      </c>
      <c r="G16" s="677">
        <f t="shared" si="3"/>
        <v>0</v>
      </c>
      <c r="H16" s="677">
        <f t="shared" si="3"/>
        <v>0</v>
      </c>
      <c r="I16" s="677">
        <f t="shared" si="3"/>
        <v>59586426462</v>
      </c>
      <c r="J16" s="677">
        <f t="shared" si="3"/>
        <v>3726001406.9099998</v>
      </c>
      <c r="K16" s="677">
        <f t="shared" si="3"/>
        <v>3726001406.9099998</v>
      </c>
      <c r="L16" s="742">
        <f t="shared" si="1"/>
        <v>6.6701988093276904E-2</v>
      </c>
      <c r="M16" s="677">
        <f>+M17+M65</f>
        <v>55860425055.089996</v>
      </c>
      <c r="N16" s="647"/>
      <c r="O16" s="647"/>
      <c r="P16" s="647"/>
      <c r="Q16" s="647"/>
      <c r="R16" s="647"/>
      <c r="S16" s="647"/>
      <c r="T16" s="647"/>
      <c r="U16" s="647"/>
      <c r="V16" s="647"/>
      <c r="W16" s="647"/>
      <c r="X16" s="647"/>
      <c r="Y16" s="647"/>
      <c r="Z16" s="647"/>
      <c r="AA16" s="647"/>
      <c r="AB16" s="647"/>
      <c r="AC16" s="647"/>
    </row>
    <row r="17" spans="1:29" s="628" customFormat="1" ht="19.5" customHeight="1">
      <c r="A17" s="647"/>
      <c r="B17" s="648"/>
      <c r="C17" s="648"/>
      <c r="D17" s="679" t="s">
        <v>495</v>
      </c>
      <c r="E17" s="677">
        <f>+E18</f>
        <v>28039909645</v>
      </c>
      <c r="F17" s="677">
        <f t="shared" ref="F17:K17" si="4">+F18</f>
        <v>0</v>
      </c>
      <c r="G17" s="677">
        <f t="shared" si="4"/>
        <v>0</v>
      </c>
      <c r="H17" s="677">
        <f t="shared" si="4"/>
        <v>0</v>
      </c>
      <c r="I17" s="677">
        <f t="shared" si="4"/>
        <v>28039909645</v>
      </c>
      <c r="J17" s="677">
        <f t="shared" si="4"/>
        <v>3720577284.9099998</v>
      </c>
      <c r="K17" s="677">
        <f t="shared" si="4"/>
        <v>3720577284.9099998</v>
      </c>
      <c r="L17" s="742">
        <f t="shared" si="1"/>
        <v>0.15298846324481216</v>
      </c>
      <c r="M17" s="677">
        <f>+M18</f>
        <v>24319332360.09</v>
      </c>
      <c r="N17" s="647"/>
      <c r="O17" s="647"/>
      <c r="P17" s="647"/>
      <c r="Q17" s="647"/>
      <c r="R17" s="647"/>
      <c r="S17" s="647"/>
      <c r="T17" s="647"/>
      <c r="U17" s="647"/>
      <c r="V17" s="647"/>
      <c r="W17" s="647"/>
      <c r="X17" s="647"/>
      <c r="Y17" s="647"/>
      <c r="Z17" s="647"/>
      <c r="AA17" s="647"/>
      <c r="AB17" s="647"/>
      <c r="AC17" s="647"/>
    </row>
    <row r="18" spans="1:29" s="628" customFormat="1" ht="19.5" customHeight="1">
      <c r="A18" s="647"/>
      <c r="B18" s="648"/>
      <c r="C18" s="648"/>
      <c r="D18" s="679" t="s">
        <v>496</v>
      </c>
      <c r="E18" s="677">
        <f>+E19+E35+E43+E56+E58</f>
        <v>28039909645</v>
      </c>
      <c r="F18" s="677">
        <f t="shared" ref="F18:K18" si="5">+F19+F35+F43+F56+F58</f>
        <v>0</v>
      </c>
      <c r="G18" s="677">
        <f t="shared" si="5"/>
        <v>0</v>
      </c>
      <c r="H18" s="677">
        <f t="shared" si="5"/>
        <v>0</v>
      </c>
      <c r="I18" s="677">
        <f t="shared" si="5"/>
        <v>28039909645</v>
      </c>
      <c r="J18" s="677">
        <f t="shared" si="5"/>
        <v>3720577284.9099998</v>
      </c>
      <c r="K18" s="677">
        <f t="shared" si="5"/>
        <v>3720577284.9099998</v>
      </c>
      <c r="L18" s="742">
        <f t="shared" si="1"/>
        <v>0.15298846324481216</v>
      </c>
      <c r="M18" s="677">
        <f>+M19+M35+M43+M56+M58</f>
        <v>24319332360.09</v>
      </c>
      <c r="N18" s="647"/>
      <c r="O18" s="647"/>
      <c r="P18" s="647"/>
      <c r="Q18" s="647"/>
      <c r="R18" s="647"/>
      <c r="S18" s="647"/>
      <c r="T18" s="647"/>
      <c r="U18" s="647"/>
      <c r="V18" s="647"/>
      <c r="W18" s="647"/>
      <c r="X18" s="647"/>
      <c r="Y18" s="647"/>
      <c r="Z18" s="647"/>
      <c r="AA18" s="647"/>
      <c r="AB18" s="647"/>
      <c r="AC18" s="647"/>
    </row>
    <row r="19" spans="1:29" s="628" customFormat="1" ht="19.5" customHeight="1">
      <c r="A19" s="647"/>
      <c r="B19" s="648"/>
      <c r="C19" s="648"/>
      <c r="D19" s="679" t="s">
        <v>497</v>
      </c>
      <c r="E19" s="677">
        <f>SUM(E20:E34)</f>
        <v>23939561441</v>
      </c>
      <c r="F19" s="677">
        <f t="shared" ref="F19:K19" si="6">SUM(F20:F34)</f>
        <v>0</v>
      </c>
      <c r="G19" s="677">
        <f t="shared" si="6"/>
        <v>0</v>
      </c>
      <c r="H19" s="677">
        <f t="shared" si="6"/>
        <v>0</v>
      </c>
      <c r="I19" s="677">
        <f t="shared" si="6"/>
        <v>23939561441</v>
      </c>
      <c r="J19" s="677">
        <f t="shared" si="6"/>
        <v>3011676439</v>
      </c>
      <c r="K19" s="677">
        <f t="shared" si="6"/>
        <v>3011676439</v>
      </c>
      <c r="L19" s="742">
        <f t="shared" si="1"/>
        <v>0.14390734843545755</v>
      </c>
      <c r="M19" s="677">
        <f>SUM(M20:M34)</f>
        <v>20927885002</v>
      </c>
      <c r="N19" s="647"/>
      <c r="O19" s="647"/>
      <c r="P19" s="647"/>
      <c r="Q19" s="647"/>
      <c r="R19" s="647"/>
      <c r="S19" s="647"/>
      <c r="T19" s="647"/>
      <c r="U19" s="647"/>
      <c r="V19" s="647"/>
      <c r="W19" s="647"/>
      <c r="X19" s="647"/>
      <c r="Y19" s="647"/>
      <c r="Z19" s="647"/>
      <c r="AA19" s="647"/>
      <c r="AB19" s="647"/>
      <c r="AC19" s="647"/>
    </row>
    <row r="20" spans="1:29" s="628" customFormat="1" ht="19.5" customHeight="1">
      <c r="A20" s="647"/>
      <c r="B20" s="648"/>
      <c r="C20" s="648"/>
      <c r="D20" s="679" t="s">
        <v>498</v>
      </c>
      <c r="E20" s="677">
        <v>21500000000</v>
      </c>
      <c r="F20" s="639">
        <v>0</v>
      </c>
      <c r="G20" s="639">
        <v>0</v>
      </c>
      <c r="H20" s="639">
        <f t="shared" ref="H20:H78" si="7">+F20-G20</f>
        <v>0</v>
      </c>
      <c r="I20" s="677">
        <f>+E20+H20</f>
        <v>21500000000</v>
      </c>
      <c r="J20" s="677">
        <v>2656638031</v>
      </c>
      <c r="K20" s="677">
        <f>+J20</f>
        <v>2656638031</v>
      </c>
      <c r="L20" s="742">
        <f t="shared" si="1"/>
        <v>0.14098535258042308</v>
      </c>
      <c r="M20" s="677">
        <f>+I20-K20</f>
        <v>18843361969</v>
      </c>
      <c r="N20" s="647"/>
      <c r="O20" s="647"/>
      <c r="P20" s="647"/>
      <c r="Q20" s="647"/>
      <c r="R20" s="647"/>
      <c r="S20" s="647"/>
      <c r="T20" s="647"/>
      <c r="U20" s="647"/>
      <c r="V20" s="647"/>
      <c r="W20" s="647"/>
      <c r="X20" s="647"/>
      <c r="Y20" s="647"/>
      <c r="Z20" s="647"/>
      <c r="AA20" s="647"/>
      <c r="AB20" s="647"/>
      <c r="AC20" s="647"/>
    </row>
    <row r="21" spans="1:29" s="628" customFormat="1" ht="19.5" customHeight="1">
      <c r="A21" s="647"/>
      <c r="B21" s="648"/>
      <c r="C21" s="648"/>
      <c r="D21" s="679" t="s">
        <v>1057</v>
      </c>
      <c r="E21" s="677">
        <v>979000000</v>
      </c>
      <c r="F21" s="639">
        <v>0</v>
      </c>
      <c r="G21" s="639">
        <v>0</v>
      </c>
      <c r="H21" s="639">
        <f t="shared" si="7"/>
        <v>0</v>
      </c>
      <c r="I21" s="677">
        <f t="shared" ref="I21:I84" si="8">+E21+H21</f>
        <v>979000000</v>
      </c>
      <c r="J21" s="677">
        <v>164056187</v>
      </c>
      <c r="K21" s="677">
        <f t="shared" ref="K21:K34" si="9">+J21</f>
        <v>164056187</v>
      </c>
      <c r="L21" s="742">
        <f>+K21/M21</f>
        <v>0.20130981349017249</v>
      </c>
      <c r="M21" s="677">
        <f t="shared" ref="M21:M34" si="10">+I21-K21</f>
        <v>814943813</v>
      </c>
      <c r="N21" s="647"/>
      <c r="O21" s="647"/>
      <c r="P21" s="647"/>
      <c r="Q21" s="647"/>
      <c r="R21" s="647"/>
      <c r="S21" s="647"/>
      <c r="T21" s="647"/>
      <c r="U21" s="647"/>
      <c r="V21" s="647"/>
      <c r="W21" s="647"/>
      <c r="X21" s="647"/>
      <c r="Y21" s="647"/>
      <c r="Z21" s="647"/>
      <c r="AA21" s="647"/>
      <c r="AB21" s="647"/>
      <c r="AC21" s="647"/>
    </row>
    <row r="22" spans="1:29" s="628" customFormat="1" ht="19.5" customHeight="1">
      <c r="A22" s="647"/>
      <c r="B22" s="648"/>
      <c r="C22" s="648"/>
      <c r="D22" s="679" t="s">
        <v>499</v>
      </c>
      <c r="E22" s="677">
        <v>50000000</v>
      </c>
      <c r="F22" s="639">
        <v>0</v>
      </c>
      <c r="G22" s="639">
        <v>0</v>
      </c>
      <c r="H22" s="639">
        <f t="shared" si="7"/>
        <v>0</v>
      </c>
      <c r="I22" s="677">
        <f t="shared" si="8"/>
        <v>50000000</v>
      </c>
      <c r="J22" s="677">
        <v>826860</v>
      </c>
      <c r="K22" s="677">
        <f t="shared" si="9"/>
        <v>826860</v>
      </c>
      <c r="L22" s="742">
        <f t="shared" ref="L22:L85" si="11">+K22/M22</f>
        <v>1.6815277608873462E-2</v>
      </c>
      <c r="M22" s="677">
        <f t="shared" si="10"/>
        <v>49173140</v>
      </c>
      <c r="N22" s="647"/>
      <c r="O22" s="647"/>
      <c r="P22" s="647"/>
      <c r="Q22" s="647"/>
      <c r="R22" s="647"/>
      <c r="S22" s="647"/>
      <c r="T22" s="647"/>
      <c r="U22" s="647"/>
      <c r="V22" s="647"/>
      <c r="W22" s="647"/>
      <c r="X22" s="647"/>
      <c r="Y22" s="647"/>
      <c r="Z22" s="647"/>
      <c r="AA22" s="647"/>
      <c r="AB22" s="647"/>
      <c r="AC22" s="647"/>
    </row>
    <row r="23" spans="1:29" s="628" customFormat="1" ht="19.5" customHeight="1">
      <c r="A23" s="647"/>
      <c r="B23" s="648"/>
      <c r="C23" s="648"/>
      <c r="D23" s="679" t="s">
        <v>500</v>
      </c>
      <c r="E23" s="677">
        <v>110000000</v>
      </c>
      <c r="F23" s="639">
        <v>0</v>
      </c>
      <c r="G23" s="639">
        <v>0</v>
      </c>
      <c r="H23" s="639">
        <f t="shared" si="7"/>
        <v>0</v>
      </c>
      <c r="I23" s="677">
        <f t="shared" si="8"/>
        <v>110000000</v>
      </c>
      <c r="J23" s="677">
        <v>25003199</v>
      </c>
      <c r="K23" s="677">
        <f t="shared" si="9"/>
        <v>25003199</v>
      </c>
      <c r="L23" s="742">
        <f t="shared" si="11"/>
        <v>0.29416635339017055</v>
      </c>
      <c r="M23" s="677">
        <f t="shared" si="10"/>
        <v>84996801</v>
      </c>
      <c r="N23" s="647"/>
      <c r="O23" s="647"/>
      <c r="P23" s="647"/>
      <c r="Q23" s="647"/>
      <c r="R23" s="647"/>
      <c r="S23" s="647"/>
      <c r="T23" s="647"/>
      <c r="U23" s="647"/>
      <c r="V23" s="647"/>
      <c r="W23" s="647"/>
      <c r="X23" s="647"/>
      <c r="Y23" s="647"/>
      <c r="Z23" s="647"/>
      <c r="AA23" s="647"/>
      <c r="AB23" s="647"/>
      <c r="AC23" s="647"/>
    </row>
    <row r="24" spans="1:29" s="628" customFormat="1" ht="19.5" customHeight="1">
      <c r="A24" s="647"/>
      <c r="B24" s="648"/>
      <c r="C24" s="648"/>
      <c r="D24" s="679" t="s">
        <v>501</v>
      </c>
      <c r="E24" s="677">
        <v>6000000</v>
      </c>
      <c r="F24" s="639">
        <v>0</v>
      </c>
      <c r="G24" s="639">
        <v>0</v>
      </c>
      <c r="H24" s="639">
        <f t="shared" si="7"/>
        <v>0</v>
      </c>
      <c r="I24" s="677">
        <f t="shared" si="8"/>
        <v>6000000</v>
      </c>
      <c r="J24" s="677">
        <v>681942</v>
      </c>
      <c r="K24" s="677">
        <f t="shared" si="9"/>
        <v>681942</v>
      </c>
      <c r="L24" s="742">
        <f t="shared" si="11"/>
        <v>0.12823139574634199</v>
      </c>
      <c r="M24" s="677">
        <f t="shared" si="10"/>
        <v>5318058</v>
      </c>
      <c r="N24" s="647"/>
      <c r="O24" s="647"/>
      <c r="P24" s="647"/>
      <c r="Q24" s="647"/>
      <c r="R24" s="647"/>
      <c r="S24" s="647"/>
      <c r="T24" s="647"/>
      <c r="U24" s="647"/>
      <c r="V24" s="647"/>
      <c r="W24" s="647"/>
      <c r="X24" s="647"/>
      <c r="Y24" s="647"/>
      <c r="Z24" s="647"/>
      <c r="AA24" s="647"/>
      <c r="AB24" s="647"/>
      <c r="AC24" s="647"/>
    </row>
    <row r="25" spans="1:29" s="628" customFormat="1" ht="19.5" customHeight="1">
      <c r="A25" s="647"/>
      <c r="B25" s="648"/>
      <c r="C25" s="648"/>
      <c r="D25" s="679" t="s">
        <v>502</v>
      </c>
      <c r="E25" s="677">
        <v>1000</v>
      </c>
      <c r="F25" s="639">
        <v>0</v>
      </c>
      <c r="G25" s="639">
        <v>0</v>
      </c>
      <c r="H25" s="639">
        <f t="shared" si="7"/>
        <v>0</v>
      </c>
      <c r="I25" s="677">
        <f t="shared" si="8"/>
        <v>1000</v>
      </c>
      <c r="J25" s="677">
        <v>0</v>
      </c>
      <c r="K25" s="677">
        <f t="shared" si="9"/>
        <v>0</v>
      </c>
      <c r="L25" s="742">
        <f t="shared" si="11"/>
        <v>0</v>
      </c>
      <c r="M25" s="677">
        <f t="shared" si="10"/>
        <v>1000</v>
      </c>
      <c r="N25" s="647"/>
      <c r="O25" s="647"/>
      <c r="P25" s="647"/>
      <c r="Q25" s="647"/>
      <c r="R25" s="647"/>
      <c r="S25" s="647"/>
      <c r="T25" s="647"/>
      <c r="U25" s="647"/>
      <c r="V25" s="647"/>
      <c r="W25" s="647"/>
      <c r="X25" s="647"/>
      <c r="Y25" s="647"/>
      <c r="Z25" s="647"/>
      <c r="AA25" s="647"/>
      <c r="AB25" s="647"/>
      <c r="AC25" s="647"/>
    </row>
    <row r="26" spans="1:29" s="628" customFormat="1" ht="19.5" customHeight="1">
      <c r="A26" s="647"/>
      <c r="B26" s="648"/>
      <c r="C26" s="648"/>
      <c r="D26" s="679" t="s">
        <v>503</v>
      </c>
      <c r="E26" s="677">
        <v>1035557441</v>
      </c>
      <c r="F26" s="639">
        <v>0</v>
      </c>
      <c r="G26" s="639">
        <v>0</v>
      </c>
      <c r="H26" s="639">
        <f t="shared" si="7"/>
        <v>0</v>
      </c>
      <c r="I26" s="677">
        <f t="shared" si="8"/>
        <v>1035557441</v>
      </c>
      <c r="J26" s="677">
        <v>81175620</v>
      </c>
      <c r="K26" s="677">
        <f t="shared" si="9"/>
        <v>81175620</v>
      </c>
      <c r="L26" s="742">
        <f t="shared" si="11"/>
        <v>8.5055706441415968E-2</v>
      </c>
      <c r="M26" s="677">
        <f t="shared" si="10"/>
        <v>954381821</v>
      </c>
      <c r="N26" s="647"/>
      <c r="O26" s="647"/>
      <c r="P26" s="647"/>
      <c r="Q26" s="647"/>
      <c r="R26" s="647"/>
      <c r="S26" s="647"/>
      <c r="T26" s="647"/>
      <c r="U26" s="647"/>
      <c r="V26" s="647"/>
      <c r="W26" s="647"/>
      <c r="X26" s="647"/>
      <c r="Y26" s="647"/>
      <c r="Z26" s="647"/>
      <c r="AA26" s="647"/>
      <c r="AB26" s="647"/>
      <c r="AC26" s="647"/>
    </row>
    <row r="27" spans="1:29" s="628" customFormat="1" ht="19.5" customHeight="1">
      <c r="A27" s="647"/>
      <c r="B27" s="648"/>
      <c r="C27" s="648"/>
      <c r="D27" s="679" t="s">
        <v>504</v>
      </c>
      <c r="E27" s="677">
        <v>1000</v>
      </c>
      <c r="F27" s="639">
        <v>0</v>
      </c>
      <c r="G27" s="639">
        <v>0</v>
      </c>
      <c r="H27" s="639">
        <f t="shared" si="7"/>
        <v>0</v>
      </c>
      <c r="I27" s="677">
        <f t="shared" si="8"/>
        <v>1000</v>
      </c>
      <c r="J27" s="677">
        <v>0</v>
      </c>
      <c r="K27" s="677">
        <f t="shared" si="9"/>
        <v>0</v>
      </c>
      <c r="L27" s="742">
        <f t="shared" si="11"/>
        <v>0</v>
      </c>
      <c r="M27" s="677">
        <f t="shared" si="10"/>
        <v>1000</v>
      </c>
      <c r="N27" s="647"/>
      <c r="O27" s="647"/>
      <c r="P27" s="647"/>
      <c r="Q27" s="647"/>
      <c r="R27" s="647"/>
      <c r="S27" s="647"/>
      <c r="T27" s="647"/>
      <c r="U27" s="647"/>
      <c r="V27" s="647"/>
      <c r="W27" s="647"/>
      <c r="X27" s="647"/>
      <c r="Y27" s="647"/>
      <c r="Z27" s="647"/>
      <c r="AA27" s="647"/>
      <c r="AB27" s="647"/>
      <c r="AC27" s="647"/>
    </row>
    <row r="28" spans="1:29" s="628" customFormat="1" ht="19.5" customHeight="1">
      <c r="A28" s="647"/>
      <c r="B28" s="648"/>
      <c r="C28" s="648"/>
      <c r="D28" s="679" t="s">
        <v>505</v>
      </c>
      <c r="E28" s="677">
        <v>1000</v>
      </c>
      <c r="F28" s="639">
        <v>0</v>
      </c>
      <c r="G28" s="639">
        <v>0</v>
      </c>
      <c r="H28" s="639">
        <f t="shared" si="7"/>
        <v>0</v>
      </c>
      <c r="I28" s="677">
        <f t="shared" si="8"/>
        <v>1000</v>
      </c>
      <c r="J28" s="677">
        <v>0</v>
      </c>
      <c r="K28" s="677">
        <f t="shared" si="9"/>
        <v>0</v>
      </c>
      <c r="L28" s="742">
        <f t="shared" si="11"/>
        <v>0</v>
      </c>
      <c r="M28" s="677">
        <f t="shared" si="10"/>
        <v>1000</v>
      </c>
      <c r="N28" s="647"/>
      <c r="O28" s="647"/>
      <c r="P28" s="647"/>
      <c r="Q28" s="647"/>
      <c r="R28" s="647"/>
      <c r="S28" s="647"/>
      <c r="T28" s="647"/>
      <c r="U28" s="647"/>
      <c r="V28" s="647"/>
      <c r="W28" s="647"/>
      <c r="X28" s="647"/>
      <c r="Y28" s="647"/>
      <c r="Z28" s="647"/>
      <c r="AA28" s="647"/>
      <c r="AB28" s="647"/>
      <c r="AC28" s="647"/>
    </row>
    <row r="29" spans="1:29" s="628" customFormat="1" ht="19.5" customHeight="1">
      <c r="A29" s="647"/>
      <c r="B29" s="648"/>
      <c r="C29" s="648"/>
      <c r="D29" s="679" t="s">
        <v>506</v>
      </c>
      <c r="E29" s="677">
        <v>100000000</v>
      </c>
      <c r="F29" s="639">
        <v>0</v>
      </c>
      <c r="G29" s="639">
        <v>0</v>
      </c>
      <c r="H29" s="639">
        <f t="shared" si="7"/>
        <v>0</v>
      </c>
      <c r="I29" s="677">
        <f t="shared" si="8"/>
        <v>100000000</v>
      </c>
      <c r="J29" s="677">
        <v>4817200</v>
      </c>
      <c r="K29" s="677">
        <f t="shared" si="9"/>
        <v>4817200</v>
      </c>
      <c r="L29" s="742">
        <f t="shared" si="11"/>
        <v>5.0609984156801437E-2</v>
      </c>
      <c r="M29" s="677">
        <f t="shared" si="10"/>
        <v>95182800</v>
      </c>
      <c r="N29" s="647"/>
      <c r="O29" s="647"/>
      <c r="P29" s="647"/>
      <c r="Q29" s="647"/>
      <c r="R29" s="647"/>
      <c r="S29" s="647"/>
      <c r="T29" s="647"/>
      <c r="U29" s="647"/>
      <c r="V29" s="647"/>
      <c r="W29" s="647"/>
      <c r="X29" s="647"/>
      <c r="Y29" s="647"/>
      <c r="Z29" s="647"/>
      <c r="AA29" s="647"/>
      <c r="AB29" s="647"/>
      <c r="AC29" s="647"/>
    </row>
    <row r="30" spans="1:29" s="628" customFormat="1" ht="19.5" customHeight="1">
      <c r="A30" s="647"/>
      <c r="B30" s="648"/>
      <c r="C30" s="648"/>
      <c r="D30" s="679" t="s">
        <v>507</v>
      </c>
      <c r="E30" s="677">
        <v>2000000</v>
      </c>
      <c r="F30" s="639">
        <v>0</v>
      </c>
      <c r="G30" s="639">
        <v>0</v>
      </c>
      <c r="H30" s="639">
        <f t="shared" si="7"/>
        <v>0</v>
      </c>
      <c r="I30" s="677">
        <f t="shared" si="8"/>
        <v>2000000</v>
      </c>
      <c r="J30" s="677">
        <v>144000</v>
      </c>
      <c r="K30" s="677">
        <f t="shared" si="9"/>
        <v>144000</v>
      </c>
      <c r="L30" s="742">
        <f t="shared" si="11"/>
        <v>7.7586206896551727E-2</v>
      </c>
      <c r="M30" s="677">
        <f t="shared" si="10"/>
        <v>1856000</v>
      </c>
      <c r="N30" s="647"/>
      <c r="O30" s="647"/>
      <c r="P30" s="647"/>
      <c r="Q30" s="647"/>
      <c r="R30" s="647"/>
      <c r="S30" s="647"/>
      <c r="T30" s="647"/>
      <c r="U30" s="647"/>
      <c r="V30" s="647"/>
      <c r="W30" s="647"/>
      <c r="X30" s="647"/>
      <c r="Y30" s="647"/>
      <c r="Z30" s="647"/>
      <c r="AA30" s="647"/>
      <c r="AB30" s="647"/>
      <c r="AC30" s="647"/>
    </row>
    <row r="31" spans="1:29" s="628" customFormat="1" ht="19.5" customHeight="1">
      <c r="A31" s="647"/>
      <c r="B31" s="648"/>
      <c r="C31" s="648"/>
      <c r="D31" s="679" t="s">
        <v>508</v>
      </c>
      <c r="E31" s="677">
        <v>1000</v>
      </c>
      <c r="F31" s="639">
        <v>0</v>
      </c>
      <c r="G31" s="639">
        <v>0</v>
      </c>
      <c r="H31" s="639">
        <f t="shared" si="7"/>
        <v>0</v>
      </c>
      <c r="I31" s="677">
        <f t="shared" si="8"/>
        <v>1000</v>
      </c>
      <c r="J31" s="677">
        <v>0</v>
      </c>
      <c r="K31" s="677">
        <f t="shared" si="9"/>
        <v>0</v>
      </c>
      <c r="L31" s="742">
        <f t="shared" si="11"/>
        <v>0</v>
      </c>
      <c r="M31" s="677">
        <f t="shared" si="10"/>
        <v>1000</v>
      </c>
      <c r="N31" s="647"/>
      <c r="O31" s="647"/>
      <c r="P31" s="647"/>
      <c r="Q31" s="647"/>
      <c r="R31" s="647"/>
      <c r="S31" s="647"/>
      <c r="T31" s="647"/>
      <c r="U31" s="647"/>
      <c r="V31" s="647"/>
      <c r="W31" s="647"/>
      <c r="X31" s="647"/>
      <c r="Y31" s="647"/>
      <c r="Z31" s="647"/>
      <c r="AA31" s="647"/>
      <c r="AB31" s="647"/>
      <c r="AC31" s="647"/>
    </row>
    <row r="32" spans="1:29" s="628" customFormat="1" ht="19.5" customHeight="1">
      <c r="A32" s="647"/>
      <c r="B32" s="648"/>
      <c r="C32" s="648"/>
      <c r="D32" s="679" t="s">
        <v>509</v>
      </c>
      <c r="E32" s="677">
        <v>150000000</v>
      </c>
      <c r="F32" s="639">
        <v>0</v>
      </c>
      <c r="G32" s="639">
        <v>0</v>
      </c>
      <c r="H32" s="639">
        <f t="shared" si="7"/>
        <v>0</v>
      </c>
      <c r="I32" s="677">
        <f t="shared" si="8"/>
        <v>150000000</v>
      </c>
      <c r="J32" s="677">
        <v>77799120</v>
      </c>
      <c r="K32" s="677">
        <f t="shared" si="9"/>
        <v>77799120</v>
      </c>
      <c r="L32" s="742">
        <f t="shared" si="11"/>
        <v>1.0775370050891346</v>
      </c>
      <c r="M32" s="677">
        <f t="shared" si="10"/>
        <v>72200880</v>
      </c>
      <c r="N32" s="647"/>
      <c r="O32" s="647"/>
      <c r="P32" s="647"/>
      <c r="Q32" s="647"/>
      <c r="R32" s="647"/>
      <c r="S32" s="647"/>
      <c r="T32" s="647"/>
      <c r="U32" s="647"/>
      <c r="V32" s="647"/>
      <c r="W32" s="647"/>
      <c r="X32" s="647"/>
      <c r="Y32" s="647"/>
      <c r="Z32" s="647"/>
      <c r="AA32" s="647"/>
      <c r="AB32" s="647"/>
      <c r="AC32" s="647"/>
    </row>
    <row r="33" spans="1:29" s="628" customFormat="1" ht="19.5" customHeight="1">
      <c r="A33" s="647"/>
      <c r="B33" s="648"/>
      <c r="C33" s="648"/>
      <c r="D33" s="679" t="s">
        <v>510</v>
      </c>
      <c r="E33" s="677">
        <v>6000000</v>
      </c>
      <c r="F33" s="639">
        <v>0</v>
      </c>
      <c r="G33" s="639">
        <v>0</v>
      </c>
      <c r="H33" s="639">
        <f t="shared" si="7"/>
        <v>0</v>
      </c>
      <c r="I33" s="677">
        <f t="shared" si="8"/>
        <v>6000000</v>
      </c>
      <c r="J33" s="677">
        <v>102159</v>
      </c>
      <c r="K33" s="677">
        <f t="shared" si="9"/>
        <v>102159</v>
      </c>
      <c r="L33" s="742">
        <f t="shared" si="11"/>
        <v>1.7321423212324646E-2</v>
      </c>
      <c r="M33" s="677">
        <f t="shared" si="10"/>
        <v>5897841</v>
      </c>
      <c r="N33" s="647"/>
      <c r="O33" s="647"/>
      <c r="P33" s="647"/>
      <c r="Q33" s="647"/>
      <c r="R33" s="647"/>
      <c r="S33" s="647"/>
      <c r="T33" s="647"/>
      <c r="U33" s="647"/>
      <c r="V33" s="647"/>
      <c r="W33" s="647"/>
      <c r="X33" s="647"/>
      <c r="Y33" s="647"/>
      <c r="Z33" s="647"/>
      <c r="AA33" s="647"/>
      <c r="AB33" s="647"/>
      <c r="AC33" s="647"/>
    </row>
    <row r="34" spans="1:29" s="628" customFormat="1" ht="19.5" customHeight="1">
      <c r="A34" s="647"/>
      <c r="B34" s="648"/>
      <c r="C34" s="648"/>
      <c r="D34" s="679" t="s">
        <v>511</v>
      </c>
      <c r="E34" s="677">
        <v>1000000</v>
      </c>
      <c r="F34" s="639">
        <v>0</v>
      </c>
      <c r="G34" s="639">
        <v>0</v>
      </c>
      <c r="H34" s="639">
        <f t="shared" si="7"/>
        <v>0</v>
      </c>
      <c r="I34" s="677">
        <f t="shared" si="8"/>
        <v>1000000</v>
      </c>
      <c r="J34" s="677">
        <v>432121</v>
      </c>
      <c r="K34" s="677">
        <f t="shared" si="9"/>
        <v>432121</v>
      </c>
      <c r="L34" s="742">
        <f t="shared" si="11"/>
        <v>0.76093850978817668</v>
      </c>
      <c r="M34" s="677">
        <f t="shared" si="10"/>
        <v>567879</v>
      </c>
      <c r="N34" s="647"/>
      <c r="O34" s="647"/>
      <c r="P34" s="647"/>
      <c r="Q34" s="647"/>
      <c r="R34" s="647"/>
      <c r="S34" s="647"/>
      <c r="T34" s="647"/>
      <c r="U34" s="647"/>
      <c r="V34" s="647"/>
      <c r="W34" s="647"/>
      <c r="X34" s="647"/>
      <c r="Y34" s="647"/>
      <c r="Z34" s="647"/>
      <c r="AA34" s="647"/>
      <c r="AB34" s="647"/>
      <c r="AC34" s="647"/>
    </row>
    <row r="35" spans="1:29" s="628" customFormat="1" ht="19.5" customHeight="1">
      <c r="A35" s="647"/>
      <c r="B35" s="648"/>
      <c r="C35" s="648"/>
      <c r="D35" s="679" t="s">
        <v>1058</v>
      </c>
      <c r="E35" s="677">
        <f>SUM(E36:E42)</f>
        <v>83121109</v>
      </c>
      <c r="F35" s="677">
        <f t="shared" ref="F35:K35" si="12">SUM(F36:F42)</f>
        <v>0</v>
      </c>
      <c r="G35" s="677">
        <f t="shared" si="12"/>
        <v>0</v>
      </c>
      <c r="H35" s="677">
        <f t="shared" si="12"/>
        <v>0</v>
      </c>
      <c r="I35" s="677">
        <f t="shared" si="12"/>
        <v>83121109</v>
      </c>
      <c r="J35" s="677">
        <f t="shared" si="12"/>
        <v>27407777</v>
      </c>
      <c r="K35" s="677">
        <f t="shared" si="12"/>
        <v>27407777</v>
      </c>
      <c r="L35" s="742">
        <f t="shared" si="11"/>
        <v>0.49194288002735143</v>
      </c>
      <c r="M35" s="677">
        <f>SUM(M36:M42)</f>
        <v>55713332</v>
      </c>
      <c r="N35" s="647"/>
      <c r="O35" s="647"/>
      <c r="P35" s="647"/>
      <c r="Q35" s="647"/>
      <c r="R35" s="647"/>
      <c r="S35" s="647"/>
      <c r="T35" s="647"/>
      <c r="U35" s="647"/>
      <c r="V35" s="647"/>
      <c r="W35" s="647"/>
      <c r="X35" s="647"/>
      <c r="Y35" s="647"/>
      <c r="Z35" s="647"/>
      <c r="AA35" s="647"/>
      <c r="AB35" s="647"/>
      <c r="AC35" s="647"/>
    </row>
    <row r="36" spans="1:29" s="628" customFormat="1" ht="19.5" customHeight="1">
      <c r="A36" s="647"/>
      <c r="B36" s="648"/>
      <c r="C36" s="648"/>
      <c r="D36" s="679" t="s">
        <v>1059</v>
      </c>
      <c r="E36" s="677">
        <v>9250852</v>
      </c>
      <c r="F36" s="639">
        <v>0</v>
      </c>
      <c r="G36" s="639">
        <v>0</v>
      </c>
      <c r="H36" s="639">
        <f t="shared" si="7"/>
        <v>0</v>
      </c>
      <c r="I36" s="677">
        <f t="shared" si="8"/>
        <v>9250852</v>
      </c>
      <c r="J36" s="677">
        <v>0</v>
      </c>
      <c r="K36" s="677">
        <f t="shared" ref="K36:K42" si="13">+J36</f>
        <v>0</v>
      </c>
      <c r="L36" s="742">
        <f t="shared" si="11"/>
        <v>0</v>
      </c>
      <c r="M36" s="677">
        <f t="shared" ref="M36:M42" si="14">+I36-K36</f>
        <v>9250852</v>
      </c>
      <c r="N36" s="647"/>
      <c r="O36" s="647"/>
      <c r="P36" s="647"/>
      <c r="Q36" s="647"/>
      <c r="R36" s="647"/>
      <c r="S36" s="647"/>
      <c r="T36" s="647"/>
      <c r="U36" s="647"/>
      <c r="V36" s="647"/>
      <c r="W36" s="647"/>
      <c r="X36" s="647"/>
      <c r="Y36" s="647"/>
      <c r="Z36" s="647"/>
      <c r="AA36" s="647"/>
      <c r="AB36" s="647"/>
      <c r="AC36" s="647"/>
    </row>
    <row r="37" spans="1:29" s="628" customFormat="1" ht="19.5" customHeight="1">
      <c r="A37" s="647"/>
      <c r="B37" s="648"/>
      <c r="C37" s="648"/>
      <c r="D37" s="679" t="s">
        <v>1060</v>
      </c>
      <c r="E37" s="677">
        <v>14285559</v>
      </c>
      <c r="F37" s="639">
        <v>0</v>
      </c>
      <c r="G37" s="639">
        <v>0</v>
      </c>
      <c r="H37" s="639">
        <f t="shared" si="7"/>
        <v>0</v>
      </c>
      <c r="I37" s="677">
        <f t="shared" si="8"/>
        <v>14285559</v>
      </c>
      <c r="J37" s="677">
        <v>1358500</v>
      </c>
      <c r="K37" s="677">
        <f t="shared" si="13"/>
        <v>1358500</v>
      </c>
      <c r="L37" s="742">
        <f t="shared" si="11"/>
        <v>0.10508964181257315</v>
      </c>
      <c r="M37" s="677">
        <f t="shared" si="14"/>
        <v>12927059</v>
      </c>
      <c r="N37" s="647"/>
      <c r="O37" s="647"/>
      <c r="P37" s="647"/>
      <c r="Q37" s="647"/>
      <c r="R37" s="647"/>
      <c r="S37" s="647"/>
      <c r="T37" s="647"/>
      <c r="U37" s="647"/>
      <c r="V37" s="647"/>
      <c r="W37" s="647"/>
      <c r="X37" s="647"/>
      <c r="Y37" s="647"/>
      <c r="Z37" s="647"/>
      <c r="AA37" s="647"/>
      <c r="AB37" s="647"/>
      <c r="AC37" s="647"/>
    </row>
    <row r="38" spans="1:29" s="628" customFormat="1" ht="19.5" customHeight="1">
      <c r="A38" s="647"/>
      <c r="B38" s="648"/>
      <c r="C38" s="648"/>
      <c r="D38" s="679" t="s">
        <v>1061</v>
      </c>
      <c r="E38" s="677">
        <v>6120000</v>
      </c>
      <c r="F38" s="639">
        <v>0</v>
      </c>
      <c r="G38" s="639">
        <v>0</v>
      </c>
      <c r="H38" s="639">
        <f t="shared" si="7"/>
        <v>0</v>
      </c>
      <c r="I38" s="677">
        <f t="shared" si="8"/>
        <v>6120000</v>
      </c>
      <c r="J38" s="677">
        <v>6185000</v>
      </c>
      <c r="K38" s="677">
        <f t="shared" si="13"/>
        <v>6185000</v>
      </c>
      <c r="L38" s="742">
        <f t="shared" si="11"/>
        <v>-95.15384615384616</v>
      </c>
      <c r="M38" s="677">
        <f t="shared" si="14"/>
        <v>-65000</v>
      </c>
      <c r="N38" s="647"/>
      <c r="O38" s="647"/>
      <c r="P38" s="647"/>
      <c r="Q38" s="647"/>
      <c r="R38" s="647"/>
      <c r="S38" s="647"/>
      <c r="T38" s="647"/>
      <c r="U38" s="647"/>
      <c r="V38" s="647"/>
      <c r="W38" s="647"/>
      <c r="X38" s="647"/>
      <c r="Y38" s="647"/>
      <c r="Z38" s="647"/>
      <c r="AA38" s="647"/>
      <c r="AB38" s="647"/>
      <c r="AC38" s="647"/>
    </row>
    <row r="39" spans="1:29" s="628" customFormat="1" ht="19.5" customHeight="1">
      <c r="A39" s="647"/>
      <c r="B39" s="648"/>
      <c r="C39" s="648"/>
      <c r="D39" s="679" t="s">
        <v>1062</v>
      </c>
      <c r="E39" s="677">
        <v>13625415</v>
      </c>
      <c r="F39" s="639">
        <v>0</v>
      </c>
      <c r="G39" s="639">
        <v>0</v>
      </c>
      <c r="H39" s="639">
        <f t="shared" si="7"/>
        <v>0</v>
      </c>
      <c r="I39" s="677">
        <f t="shared" si="8"/>
        <v>13625415</v>
      </c>
      <c r="J39" s="677">
        <v>753111</v>
      </c>
      <c r="K39" s="677">
        <f t="shared" si="13"/>
        <v>753111</v>
      </c>
      <c r="L39" s="742">
        <f t="shared" si="11"/>
        <v>5.8506309360002687E-2</v>
      </c>
      <c r="M39" s="677">
        <f t="shared" si="14"/>
        <v>12872304</v>
      </c>
      <c r="N39" s="647"/>
      <c r="O39" s="647"/>
      <c r="P39" s="647"/>
      <c r="Q39" s="647"/>
      <c r="R39" s="647"/>
      <c r="S39" s="647"/>
      <c r="T39" s="647"/>
      <c r="U39" s="647"/>
      <c r="V39" s="647"/>
      <c r="W39" s="647"/>
      <c r="X39" s="647"/>
      <c r="Y39" s="647"/>
      <c r="Z39" s="647"/>
      <c r="AA39" s="647"/>
      <c r="AB39" s="647"/>
      <c r="AC39" s="647"/>
    </row>
    <row r="40" spans="1:29" s="628" customFormat="1" ht="19.5" customHeight="1">
      <c r="A40" s="647"/>
      <c r="B40" s="648"/>
      <c r="C40" s="648"/>
      <c r="D40" s="679" t="s">
        <v>1063</v>
      </c>
      <c r="E40" s="677">
        <v>12557702</v>
      </c>
      <c r="F40" s="639">
        <v>0</v>
      </c>
      <c r="G40" s="639">
        <v>0</v>
      </c>
      <c r="H40" s="639">
        <f t="shared" si="7"/>
        <v>0</v>
      </c>
      <c r="I40" s="677">
        <f t="shared" si="8"/>
        <v>12557702</v>
      </c>
      <c r="J40" s="677">
        <v>7517885</v>
      </c>
      <c r="K40" s="677">
        <f t="shared" si="13"/>
        <v>7517885</v>
      </c>
      <c r="L40" s="742">
        <f t="shared" si="11"/>
        <v>1.4916980120508343</v>
      </c>
      <c r="M40" s="677">
        <f t="shared" si="14"/>
        <v>5039817</v>
      </c>
      <c r="N40" s="647"/>
      <c r="O40" s="647"/>
      <c r="P40" s="647"/>
      <c r="Q40" s="647"/>
      <c r="R40" s="647"/>
      <c r="S40" s="647"/>
      <c r="T40" s="647"/>
      <c r="U40" s="647"/>
      <c r="V40" s="647"/>
      <c r="W40" s="647"/>
      <c r="X40" s="647"/>
      <c r="Y40" s="647"/>
      <c r="Z40" s="647"/>
      <c r="AA40" s="647"/>
      <c r="AB40" s="647"/>
      <c r="AC40" s="647"/>
    </row>
    <row r="41" spans="1:29" s="628" customFormat="1" ht="19.5" customHeight="1">
      <c r="A41" s="647"/>
      <c r="B41" s="648"/>
      <c r="C41" s="648"/>
      <c r="D41" s="679" t="s">
        <v>1064</v>
      </c>
      <c r="E41" s="677">
        <v>12887581</v>
      </c>
      <c r="F41" s="639">
        <v>0</v>
      </c>
      <c r="G41" s="639">
        <v>0</v>
      </c>
      <c r="H41" s="639">
        <f t="shared" si="7"/>
        <v>0</v>
      </c>
      <c r="I41" s="677">
        <f t="shared" si="8"/>
        <v>12887581</v>
      </c>
      <c r="J41" s="677">
        <v>2136481</v>
      </c>
      <c r="K41" s="677">
        <f t="shared" si="13"/>
        <v>2136481</v>
      </c>
      <c r="L41" s="742">
        <f t="shared" si="11"/>
        <v>0.19872208425184401</v>
      </c>
      <c r="M41" s="677">
        <f t="shared" si="14"/>
        <v>10751100</v>
      </c>
      <c r="N41" s="647"/>
      <c r="O41" s="647"/>
      <c r="P41" s="647"/>
      <c r="Q41" s="647"/>
      <c r="R41" s="647"/>
      <c r="S41" s="647"/>
      <c r="T41" s="647"/>
      <c r="U41" s="647"/>
      <c r="V41" s="647"/>
      <c r="W41" s="647"/>
      <c r="X41" s="647"/>
      <c r="Y41" s="647"/>
      <c r="Z41" s="647"/>
      <c r="AA41" s="647"/>
      <c r="AB41" s="647"/>
      <c r="AC41" s="647"/>
    </row>
    <row r="42" spans="1:29" s="628" customFormat="1" ht="19.5" customHeight="1">
      <c r="A42" s="647"/>
      <c r="B42" s="648"/>
      <c r="C42" s="648"/>
      <c r="D42" s="679" t="s">
        <v>1289</v>
      </c>
      <c r="E42" s="677">
        <v>14394000</v>
      </c>
      <c r="F42" s="639">
        <v>0</v>
      </c>
      <c r="G42" s="639">
        <v>0</v>
      </c>
      <c r="H42" s="639">
        <f t="shared" si="7"/>
        <v>0</v>
      </c>
      <c r="I42" s="677">
        <f t="shared" si="8"/>
        <v>14394000</v>
      </c>
      <c r="J42" s="677">
        <v>9456800</v>
      </c>
      <c r="K42" s="677">
        <f t="shared" si="13"/>
        <v>9456800</v>
      </c>
      <c r="L42" s="742">
        <f t="shared" si="11"/>
        <v>1.9154176456291014</v>
      </c>
      <c r="M42" s="677">
        <f t="shared" si="14"/>
        <v>4937200</v>
      </c>
      <c r="N42" s="647"/>
      <c r="O42" s="647"/>
      <c r="P42" s="647"/>
      <c r="Q42" s="647"/>
      <c r="R42" s="647"/>
      <c r="S42" s="647"/>
      <c r="T42" s="647"/>
      <c r="U42" s="647"/>
      <c r="V42" s="647"/>
      <c r="W42" s="647"/>
      <c r="X42" s="647"/>
      <c r="Y42" s="647"/>
      <c r="Z42" s="647"/>
      <c r="AA42" s="647"/>
      <c r="AB42" s="647"/>
      <c r="AC42" s="647"/>
    </row>
    <row r="43" spans="1:29" s="628" customFormat="1" ht="19.5" customHeight="1">
      <c r="A43" s="647"/>
      <c r="B43" s="648"/>
      <c r="C43" s="648"/>
      <c r="D43" s="679" t="s">
        <v>1066</v>
      </c>
      <c r="E43" s="677">
        <f>SUM(E44:E55)</f>
        <v>10227095</v>
      </c>
      <c r="F43" s="677">
        <f t="shared" ref="F43:K43" si="15">SUM(F44:F55)</f>
        <v>0</v>
      </c>
      <c r="G43" s="677">
        <f t="shared" si="15"/>
        <v>0</v>
      </c>
      <c r="H43" s="677">
        <f t="shared" si="15"/>
        <v>0</v>
      </c>
      <c r="I43" s="677">
        <f t="shared" si="15"/>
        <v>10227095</v>
      </c>
      <c r="J43" s="677">
        <f t="shared" si="15"/>
        <v>0</v>
      </c>
      <c r="K43" s="677">
        <f t="shared" si="15"/>
        <v>0</v>
      </c>
      <c r="L43" s="742">
        <f t="shared" si="11"/>
        <v>0</v>
      </c>
      <c r="M43" s="677">
        <f>SUM(M44:M55)</f>
        <v>10227095</v>
      </c>
      <c r="N43" s="647"/>
      <c r="O43" s="647"/>
      <c r="P43" s="647"/>
      <c r="Q43" s="647"/>
      <c r="R43" s="647"/>
      <c r="S43" s="647"/>
      <c r="T43" s="647"/>
      <c r="U43" s="647"/>
      <c r="V43" s="647"/>
      <c r="W43" s="647"/>
      <c r="X43" s="647"/>
      <c r="Y43" s="647"/>
      <c r="Z43" s="647"/>
      <c r="AA43" s="647"/>
      <c r="AB43" s="647"/>
      <c r="AC43" s="647"/>
    </row>
    <row r="44" spans="1:29" s="628" customFormat="1" ht="19.5" customHeight="1">
      <c r="A44" s="647"/>
      <c r="B44" s="648"/>
      <c r="C44" s="648"/>
      <c r="D44" s="679" t="s">
        <v>1067</v>
      </c>
      <c r="E44" s="639">
        <v>1725533</v>
      </c>
      <c r="F44" s="639">
        <v>0</v>
      </c>
      <c r="G44" s="639">
        <v>0</v>
      </c>
      <c r="H44" s="639">
        <f t="shared" si="7"/>
        <v>0</v>
      </c>
      <c r="I44" s="677">
        <f t="shared" si="8"/>
        <v>1725533</v>
      </c>
      <c r="J44" s="677">
        <v>0</v>
      </c>
      <c r="K44" s="677">
        <f t="shared" ref="K44:K55" si="16">+J44</f>
        <v>0</v>
      </c>
      <c r="L44" s="742">
        <f t="shared" si="11"/>
        <v>0</v>
      </c>
      <c r="M44" s="677">
        <f t="shared" ref="M44:M55" si="17">+I44-K44</f>
        <v>1725533</v>
      </c>
      <c r="N44" s="647"/>
      <c r="O44" s="647"/>
      <c r="P44" s="647"/>
      <c r="Q44" s="647"/>
      <c r="R44" s="647"/>
      <c r="S44" s="647"/>
      <c r="T44" s="647"/>
      <c r="U44" s="647"/>
      <c r="V44" s="647"/>
      <c r="W44" s="647"/>
      <c r="X44" s="647"/>
      <c r="Y44" s="647"/>
      <c r="Z44" s="647"/>
      <c r="AA44" s="647"/>
      <c r="AB44" s="647"/>
      <c r="AC44" s="647"/>
    </row>
    <row r="45" spans="1:29" s="628" customFormat="1" ht="19.5" customHeight="1">
      <c r="A45" s="647"/>
      <c r="B45" s="648"/>
      <c r="C45" s="648"/>
      <c r="D45" s="679" t="s">
        <v>1068</v>
      </c>
      <c r="E45" s="639">
        <v>1308235</v>
      </c>
      <c r="F45" s="639">
        <v>0</v>
      </c>
      <c r="G45" s="639">
        <v>0</v>
      </c>
      <c r="H45" s="639">
        <f t="shared" si="7"/>
        <v>0</v>
      </c>
      <c r="I45" s="677">
        <f t="shared" si="8"/>
        <v>1308235</v>
      </c>
      <c r="J45" s="677">
        <v>0</v>
      </c>
      <c r="K45" s="677">
        <f t="shared" si="16"/>
        <v>0</v>
      </c>
      <c r="L45" s="742">
        <f t="shared" si="11"/>
        <v>0</v>
      </c>
      <c r="M45" s="677">
        <f t="shared" si="17"/>
        <v>1308235</v>
      </c>
      <c r="N45" s="647"/>
      <c r="O45" s="647"/>
      <c r="P45" s="647"/>
      <c r="Q45" s="647"/>
      <c r="R45" s="647"/>
      <c r="S45" s="647"/>
      <c r="T45" s="647"/>
      <c r="U45" s="647"/>
      <c r="V45" s="647"/>
      <c r="W45" s="647"/>
      <c r="X45" s="647"/>
      <c r="Y45" s="647"/>
      <c r="Z45" s="647"/>
      <c r="AA45" s="647"/>
      <c r="AB45" s="647"/>
      <c r="AC45" s="647"/>
    </row>
    <row r="46" spans="1:29" s="628" customFormat="1" ht="19.5" customHeight="1">
      <c r="A46" s="647"/>
      <c r="B46" s="648"/>
      <c r="C46" s="648"/>
      <c r="D46" s="679" t="s">
        <v>1069</v>
      </c>
      <c r="E46" s="639">
        <v>562283</v>
      </c>
      <c r="F46" s="639">
        <v>0</v>
      </c>
      <c r="G46" s="639">
        <v>0</v>
      </c>
      <c r="H46" s="639">
        <f t="shared" si="7"/>
        <v>0</v>
      </c>
      <c r="I46" s="677">
        <f t="shared" si="8"/>
        <v>562283</v>
      </c>
      <c r="J46" s="677">
        <v>0</v>
      </c>
      <c r="K46" s="677">
        <f t="shared" si="16"/>
        <v>0</v>
      </c>
      <c r="L46" s="742">
        <f t="shared" si="11"/>
        <v>0</v>
      </c>
      <c r="M46" s="677">
        <f t="shared" si="17"/>
        <v>562283</v>
      </c>
      <c r="N46" s="647"/>
      <c r="O46" s="647"/>
      <c r="P46" s="647"/>
      <c r="Q46" s="647"/>
      <c r="R46" s="647"/>
      <c r="S46" s="647"/>
      <c r="T46" s="647"/>
      <c r="U46" s="647"/>
      <c r="V46" s="647"/>
      <c r="W46" s="647"/>
      <c r="X46" s="647"/>
      <c r="Y46" s="647"/>
      <c r="Z46" s="647"/>
      <c r="AA46" s="647"/>
      <c r="AB46" s="647"/>
      <c r="AC46" s="647"/>
    </row>
    <row r="47" spans="1:29" s="628" customFormat="1" ht="19.5" customHeight="1">
      <c r="A47" s="647"/>
      <c r="B47" s="648"/>
      <c r="C47" s="648"/>
      <c r="D47" s="679" t="s">
        <v>1070</v>
      </c>
      <c r="E47" s="639">
        <v>308799</v>
      </c>
      <c r="F47" s="639">
        <v>0</v>
      </c>
      <c r="G47" s="639">
        <v>0</v>
      </c>
      <c r="H47" s="639">
        <f t="shared" si="7"/>
        <v>0</v>
      </c>
      <c r="I47" s="677">
        <f t="shared" si="8"/>
        <v>308799</v>
      </c>
      <c r="J47" s="677">
        <v>0</v>
      </c>
      <c r="K47" s="677">
        <f t="shared" si="16"/>
        <v>0</v>
      </c>
      <c r="L47" s="742">
        <f t="shared" si="11"/>
        <v>0</v>
      </c>
      <c r="M47" s="677">
        <f t="shared" si="17"/>
        <v>308799</v>
      </c>
      <c r="N47" s="647"/>
      <c r="O47" s="647"/>
      <c r="P47" s="647"/>
      <c r="Q47" s="647"/>
      <c r="R47" s="647"/>
      <c r="S47" s="647"/>
      <c r="T47" s="647"/>
      <c r="U47" s="647"/>
      <c r="V47" s="647"/>
      <c r="W47" s="647"/>
      <c r="X47" s="647"/>
      <c r="Y47" s="647"/>
      <c r="Z47" s="647"/>
      <c r="AA47" s="647"/>
      <c r="AB47" s="647"/>
      <c r="AC47" s="647"/>
    </row>
    <row r="48" spans="1:29" s="628" customFormat="1" ht="19.5" customHeight="1">
      <c r="A48" s="647"/>
      <c r="B48" s="648"/>
      <c r="C48" s="648"/>
      <c r="D48" s="679" t="s">
        <v>1071</v>
      </c>
      <c r="E48" s="639">
        <v>191372</v>
      </c>
      <c r="F48" s="639">
        <v>0</v>
      </c>
      <c r="G48" s="639">
        <v>0</v>
      </c>
      <c r="H48" s="639">
        <f t="shared" si="7"/>
        <v>0</v>
      </c>
      <c r="I48" s="677">
        <f t="shared" si="8"/>
        <v>191372</v>
      </c>
      <c r="J48" s="677">
        <v>0</v>
      </c>
      <c r="K48" s="677">
        <f t="shared" si="16"/>
        <v>0</v>
      </c>
      <c r="L48" s="742">
        <f t="shared" si="11"/>
        <v>0</v>
      </c>
      <c r="M48" s="677">
        <f t="shared" si="17"/>
        <v>191372</v>
      </c>
      <c r="N48" s="647"/>
      <c r="O48" s="647"/>
      <c r="P48" s="647"/>
      <c r="Q48" s="647"/>
      <c r="R48" s="647"/>
      <c r="S48" s="647"/>
      <c r="T48" s="647"/>
      <c r="U48" s="647"/>
      <c r="V48" s="647"/>
      <c r="W48" s="647"/>
      <c r="X48" s="647"/>
      <c r="Y48" s="647"/>
      <c r="Z48" s="647"/>
      <c r="AA48" s="647"/>
      <c r="AB48" s="647"/>
      <c r="AC48" s="647"/>
    </row>
    <row r="49" spans="1:29" s="628" customFormat="1" ht="19.5" customHeight="1">
      <c r="A49" s="647"/>
      <c r="B49" s="648"/>
      <c r="C49" s="648"/>
      <c r="D49" s="679" t="s">
        <v>1072</v>
      </c>
      <c r="E49" s="639">
        <v>141578</v>
      </c>
      <c r="F49" s="639">
        <v>0</v>
      </c>
      <c r="G49" s="639">
        <v>0</v>
      </c>
      <c r="H49" s="639">
        <f t="shared" si="7"/>
        <v>0</v>
      </c>
      <c r="I49" s="677">
        <f t="shared" si="8"/>
        <v>141578</v>
      </c>
      <c r="J49" s="677">
        <v>0</v>
      </c>
      <c r="K49" s="677">
        <f t="shared" si="16"/>
        <v>0</v>
      </c>
      <c r="L49" s="742">
        <f t="shared" si="11"/>
        <v>0</v>
      </c>
      <c r="M49" s="677">
        <f t="shared" si="17"/>
        <v>141578</v>
      </c>
      <c r="N49" s="647"/>
      <c r="O49" s="647"/>
      <c r="P49" s="647"/>
      <c r="Q49" s="647"/>
      <c r="R49" s="647"/>
      <c r="S49" s="647"/>
      <c r="T49" s="647"/>
      <c r="U49" s="647"/>
      <c r="V49" s="647"/>
      <c r="W49" s="647"/>
      <c r="X49" s="647"/>
      <c r="Y49" s="647"/>
      <c r="Z49" s="647"/>
      <c r="AA49" s="647"/>
      <c r="AB49" s="647"/>
      <c r="AC49" s="647"/>
    </row>
    <row r="50" spans="1:29" s="628" customFormat="1" ht="19.5" customHeight="1">
      <c r="A50" s="647"/>
      <c r="B50" s="648"/>
      <c r="C50" s="648"/>
      <c r="D50" s="679" t="s">
        <v>1073</v>
      </c>
      <c r="E50" s="639">
        <v>419867</v>
      </c>
      <c r="F50" s="639">
        <v>0</v>
      </c>
      <c r="G50" s="639">
        <v>0</v>
      </c>
      <c r="H50" s="639">
        <f t="shared" si="7"/>
        <v>0</v>
      </c>
      <c r="I50" s="677">
        <f t="shared" si="8"/>
        <v>419867</v>
      </c>
      <c r="J50" s="677">
        <v>0</v>
      </c>
      <c r="K50" s="677">
        <f t="shared" si="16"/>
        <v>0</v>
      </c>
      <c r="L50" s="742">
        <f t="shared" si="11"/>
        <v>0</v>
      </c>
      <c r="M50" s="677">
        <f t="shared" si="17"/>
        <v>419867</v>
      </c>
      <c r="N50" s="647"/>
      <c r="O50" s="647"/>
      <c r="P50" s="647"/>
      <c r="Q50" s="647"/>
      <c r="R50" s="647"/>
      <c r="S50" s="647"/>
      <c r="T50" s="647"/>
      <c r="U50" s="647"/>
      <c r="V50" s="647"/>
      <c r="W50" s="647"/>
      <c r="X50" s="647"/>
      <c r="Y50" s="647"/>
      <c r="Z50" s="647"/>
      <c r="AA50" s="647"/>
      <c r="AB50" s="647"/>
      <c r="AC50" s="647"/>
    </row>
    <row r="51" spans="1:29" s="628" customFormat="1" ht="19.5" customHeight="1">
      <c r="A51" s="647"/>
      <c r="B51" s="648"/>
      <c r="C51" s="648"/>
      <c r="D51" s="679" t="s">
        <v>1074</v>
      </c>
      <c r="E51" s="639">
        <v>4934861</v>
      </c>
      <c r="F51" s="639">
        <v>0</v>
      </c>
      <c r="G51" s="639">
        <v>0</v>
      </c>
      <c r="H51" s="639">
        <f t="shared" si="7"/>
        <v>0</v>
      </c>
      <c r="I51" s="677">
        <f t="shared" si="8"/>
        <v>4934861</v>
      </c>
      <c r="J51" s="677">
        <v>0</v>
      </c>
      <c r="K51" s="677">
        <f t="shared" si="16"/>
        <v>0</v>
      </c>
      <c r="L51" s="742">
        <f t="shared" si="11"/>
        <v>0</v>
      </c>
      <c r="M51" s="677">
        <f t="shared" si="17"/>
        <v>4934861</v>
      </c>
      <c r="N51" s="647"/>
      <c r="O51" s="647"/>
      <c r="P51" s="647"/>
      <c r="Q51" s="647"/>
      <c r="R51" s="647"/>
      <c r="S51" s="647"/>
      <c r="T51" s="647"/>
      <c r="U51" s="647"/>
      <c r="V51" s="647"/>
      <c r="W51" s="647"/>
      <c r="X51" s="647"/>
      <c r="Y51" s="647"/>
      <c r="Z51" s="647"/>
      <c r="AA51" s="647"/>
      <c r="AB51" s="647"/>
      <c r="AC51" s="647"/>
    </row>
    <row r="52" spans="1:29" s="628" customFormat="1" ht="19.5" customHeight="1">
      <c r="A52" s="647"/>
      <c r="B52" s="648"/>
      <c r="C52" s="648"/>
      <c r="D52" s="679" t="s">
        <v>1075</v>
      </c>
      <c r="E52" s="639">
        <v>14530</v>
      </c>
      <c r="F52" s="639">
        <v>0</v>
      </c>
      <c r="G52" s="639">
        <v>0</v>
      </c>
      <c r="H52" s="639">
        <f t="shared" si="7"/>
        <v>0</v>
      </c>
      <c r="I52" s="677">
        <f t="shared" si="8"/>
        <v>14530</v>
      </c>
      <c r="J52" s="677">
        <v>0</v>
      </c>
      <c r="K52" s="677">
        <f t="shared" si="16"/>
        <v>0</v>
      </c>
      <c r="L52" s="742">
        <f t="shared" si="11"/>
        <v>0</v>
      </c>
      <c r="M52" s="677">
        <f t="shared" si="17"/>
        <v>14530</v>
      </c>
      <c r="N52" s="647"/>
      <c r="O52" s="647"/>
      <c r="P52" s="647"/>
      <c r="Q52" s="647"/>
      <c r="R52" s="647"/>
      <c r="S52" s="647"/>
      <c r="T52" s="647"/>
      <c r="U52" s="647"/>
      <c r="V52" s="647"/>
      <c r="W52" s="647"/>
      <c r="X52" s="647"/>
      <c r="Y52" s="647"/>
      <c r="Z52" s="647"/>
      <c r="AA52" s="647"/>
      <c r="AB52" s="647"/>
      <c r="AC52" s="647"/>
    </row>
    <row r="53" spans="1:29" s="628" customFormat="1" ht="19.5" customHeight="1">
      <c r="A53" s="647"/>
      <c r="B53" s="648"/>
      <c r="C53" s="648"/>
      <c r="D53" s="679" t="s">
        <v>1076</v>
      </c>
      <c r="E53" s="639">
        <v>4696</v>
      </c>
      <c r="F53" s="639">
        <v>0</v>
      </c>
      <c r="G53" s="639">
        <v>0</v>
      </c>
      <c r="H53" s="639">
        <f t="shared" si="7"/>
        <v>0</v>
      </c>
      <c r="I53" s="677">
        <f t="shared" si="8"/>
        <v>4696</v>
      </c>
      <c r="J53" s="677">
        <v>0</v>
      </c>
      <c r="K53" s="677">
        <f t="shared" si="16"/>
        <v>0</v>
      </c>
      <c r="L53" s="742">
        <f t="shared" si="11"/>
        <v>0</v>
      </c>
      <c r="M53" s="677">
        <f t="shared" si="17"/>
        <v>4696</v>
      </c>
      <c r="N53" s="647"/>
      <c r="O53" s="647"/>
      <c r="P53" s="647"/>
      <c r="Q53" s="647"/>
      <c r="R53" s="647"/>
      <c r="S53" s="647"/>
      <c r="T53" s="647"/>
      <c r="U53" s="647"/>
      <c r="V53" s="647"/>
      <c r="W53" s="647"/>
      <c r="X53" s="647"/>
      <c r="Y53" s="647"/>
      <c r="Z53" s="647"/>
      <c r="AA53" s="647"/>
      <c r="AB53" s="647"/>
      <c r="AC53" s="647"/>
    </row>
    <row r="54" spans="1:29" s="628" customFormat="1" ht="19.5" customHeight="1">
      <c r="A54" s="647"/>
      <c r="B54" s="648"/>
      <c r="C54" s="648"/>
      <c r="D54" s="679" t="s">
        <v>1077</v>
      </c>
      <c r="E54" s="639">
        <v>237262</v>
      </c>
      <c r="F54" s="639">
        <v>0</v>
      </c>
      <c r="G54" s="639">
        <v>0</v>
      </c>
      <c r="H54" s="639">
        <f t="shared" si="7"/>
        <v>0</v>
      </c>
      <c r="I54" s="677">
        <f t="shared" si="8"/>
        <v>237262</v>
      </c>
      <c r="J54" s="677">
        <v>0</v>
      </c>
      <c r="K54" s="677">
        <f t="shared" si="16"/>
        <v>0</v>
      </c>
      <c r="L54" s="742">
        <f t="shared" si="11"/>
        <v>0</v>
      </c>
      <c r="M54" s="677">
        <f t="shared" si="17"/>
        <v>237262</v>
      </c>
      <c r="N54" s="647"/>
      <c r="O54" s="647"/>
      <c r="P54" s="647"/>
      <c r="Q54" s="647"/>
      <c r="R54" s="647"/>
      <c r="S54" s="647"/>
      <c r="T54" s="647"/>
      <c r="U54" s="647"/>
      <c r="V54" s="647"/>
      <c r="W54" s="647"/>
      <c r="X54" s="647"/>
      <c r="Y54" s="647"/>
      <c r="Z54" s="647"/>
      <c r="AA54" s="647"/>
      <c r="AB54" s="647"/>
      <c r="AC54" s="647"/>
    </row>
    <row r="55" spans="1:29" s="628" customFormat="1" ht="19.5" customHeight="1">
      <c r="A55" s="647"/>
      <c r="B55" s="648"/>
      <c r="C55" s="648"/>
      <c r="D55" s="679" t="s">
        <v>1078</v>
      </c>
      <c r="E55" s="639">
        <v>378079</v>
      </c>
      <c r="F55" s="639">
        <v>0</v>
      </c>
      <c r="G55" s="639">
        <v>0</v>
      </c>
      <c r="H55" s="639">
        <f t="shared" si="7"/>
        <v>0</v>
      </c>
      <c r="I55" s="677">
        <f t="shared" si="8"/>
        <v>378079</v>
      </c>
      <c r="J55" s="677">
        <v>0</v>
      </c>
      <c r="K55" s="677">
        <f t="shared" si="16"/>
        <v>0</v>
      </c>
      <c r="L55" s="742">
        <f t="shared" si="11"/>
        <v>0</v>
      </c>
      <c r="M55" s="677">
        <f t="shared" si="17"/>
        <v>378079</v>
      </c>
      <c r="N55" s="647"/>
      <c r="O55" s="647"/>
      <c r="P55" s="647"/>
      <c r="Q55" s="647"/>
      <c r="R55" s="647"/>
      <c r="S55" s="647"/>
      <c r="T55" s="647"/>
      <c r="U55" s="647"/>
      <c r="V55" s="647"/>
      <c r="W55" s="647"/>
      <c r="X55" s="647"/>
      <c r="Y55" s="647"/>
      <c r="Z55" s="647"/>
      <c r="AA55" s="647"/>
      <c r="AB55" s="647"/>
      <c r="AC55" s="647"/>
    </row>
    <row r="56" spans="1:29" s="628" customFormat="1" ht="19.5" customHeight="1">
      <c r="A56" s="647"/>
      <c r="B56" s="648"/>
      <c r="C56" s="648"/>
      <c r="D56" s="679" t="s">
        <v>1080</v>
      </c>
      <c r="E56" s="639">
        <f>+E57</f>
        <v>54000000</v>
      </c>
      <c r="F56" s="639">
        <f t="shared" ref="F56:M56" si="18">+F57</f>
        <v>0</v>
      </c>
      <c r="G56" s="639">
        <f t="shared" si="18"/>
        <v>0</v>
      </c>
      <c r="H56" s="639">
        <f t="shared" si="18"/>
        <v>0</v>
      </c>
      <c r="I56" s="639">
        <f t="shared" si="18"/>
        <v>54000000</v>
      </c>
      <c r="J56" s="639">
        <f t="shared" si="18"/>
        <v>4896922</v>
      </c>
      <c r="K56" s="639">
        <f t="shared" si="18"/>
        <v>4896922</v>
      </c>
      <c r="L56" s="742">
        <f t="shared" si="11"/>
        <v>9.9727393871316988E-2</v>
      </c>
      <c r="M56" s="639">
        <f t="shared" si="18"/>
        <v>49103078</v>
      </c>
      <c r="N56" s="647"/>
      <c r="O56" s="647"/>
      <c r="P56" s="647"/>
      <c r="Q56" s="647"/>
      <c r="R56" s="647"/>
      <c r="S56" s="647"/>
      <c r="T56" s="647"/>
      <c r="U56" s="647"/>
      <c r="V56" s="647"/>
      <c r="W56" s="647"/>
      <c r="X56" s="647"/>
      <c r="Y56" s="647"/>
      <c r="Z56" s="647"/>
      <c r="AA56" s="647"/>
      <c r="AB56" s="647"/>
      <c r="AC56" s="647"/>
    </row>
    <row r="57" spans="1:29" s="628" customFormat="1" ht="19.5" customHeight="1">
      <c r="A57" s="647"/>
      <c r="B57" s="648"/>
      <c r="C57" s="648"/>
      <c r="D57" s="679" t="s">
        <v>1079</v>
      </c>
      <c r="E57" s="639">
        <v>54000000</v>
      </c>
      <c r="F57" s="639">
        <v>0</v>
      </c>
      <c r="G57" s="639">
        <v>0</v>
      </c>
      <c r="H57" s="639">
        <f t="shared" si="7"/>
        <v>0</v>
      </c>
      <c r="I57" s="677">
        <f t="shared" si="8"/>
        <v>54000000</v>
      </c>
      <c r="J57" s="677">
        <v>4896922</v>
      </c>
      <c r="K57" s="677">
        <f>+J57</f>
        <v>4896922</v>
      </c>
      <c r="L57" s="742">
        <f t="shared" si="11"/>
        <v>9.9727393871316988E-2</v>
      </c>
      <c r="M57" s="677">
        <f>+I57-K57</f>
        <v>49103078</v>
      </c>
      <c r="N57" s="647"/>
      <c r="O57" s="647"/>
      <c r="P57" s="647"/>
      <c r="Q57" s="647"/>
      <c r="R57" s="647"/>
      <c r="S57" s="647"/>
      <c r="T57" s="647"/>
      <c r="U57" s="647"/>
      <c r="V57" s="647"/>
      <c r="W57" s="647"/>
      <c r="X57" s="647"/>
      <c r="Y57" s="647"/>
      <c r="Z57" s="647"/>
      <c r="AA57" s="647"/>
      <c r="AB57" s="647"/>
      <c r="AC57" s="647"/>
    </row>
    <row r="58" spans="1:29" s="628" customFormat="1" ht="19.5" customHeight="1">
      <c r="A58" s="647"/>
      <c r="B58" s="648"/>
      <c r="C58" s="648"/>
      <c r="D58" s="679" t="s">
        <v>1081</v>
      </c>
      <c r="E58" s="639">
        <f>SUM(E59:E64)</f>
        <v>3953000000</v>
      </c>
      <c r="F58" s="639">
        <f t="shared" ref="F58:M58" si="19">SUM(F59:F64)</f>
        <v>0</v>
      </c>
      <c r="G58" s="639">
        <f t="shared" si="19"/>
        <v>0</v>
      </c>
      <c r="H58" s="639">
        <f t="shared" si="19"/>
        <v>0</v>
      </c>
      <c r="I58" s="639">
        <f t="shared" si="19"/>
        <v>3953000000</v>
      </c>
      <c r="J58" s="639">
        <f t="shared" si="19"/>
        <v>676596146.90999997</v>
      </c>
      <c r="K58" s="639">
        <f t="shared" si="19"/>
        <v>676596146.90999997</v>
      </c>
      <c r="L58" s="742">
        <f t="shared" si="11"/>
        <v>0.20650572311831988</v>
      </c>
      <c r="M58" s="639">
        <f t="shared" si="19"/>
        <v>3276403853.0900002</v>
      </c>
      <c r="N58" s="647"/>
      <c r="O58" s="647"/>
      <c r="P58" s="647"/>
      <c r="Q58" s="647"/>
      <c r="R58" s="647"/>
      <c r="S58" s="647"/>
      <c r="T58" s="647"/>
      <c r="U58" s="647"/>
      <c r="V58" s="647"/>
      <c r="W58" s="647"/>
      <c r="X58" s="647"/>
      <c r="Y58" s="647"/>
      <c r="Z58" s="647"/>
      <c r="AA58" s="647"/>
      <c r="AB58" s="647"/>
      <c r="AC58" s="647"/>
    </row>
    <row r="59" spans="1:29" s="628" customFormat="1" ht="19.5" customHeight="1">
      <c r="A59" s="647"/>
      <c r="B59" s="648"/>
      <c r="C59" s="648"/>
      <c r="D59" s="679" t="s">
        <v>1082</v>
      </c>
      <c r="E59" s="639">
        <v>121000000</v>
      </c>
      <c r="F59" s="639">
        <v>0</v>
      </c>
      <c r="G59" s="639">
        <v>0</v>
      </c>
      <c r="H59" s="639">
        <f t="shared" si="7"/>
        <v>0</v>
      </c>
      <c r="I59" s="677">
        <f t="shared" si="8"/>
        <v>121000000</v>
      </c>
      <c r="J59" s="677">
        <v>27417572.91</v>
      </c>
      <c r="K59" s="677">
        <f t="shared" ref="K59:K64" si="20">+J59</f>
        <v>27417572.91</v>
      </c>
      <c r="L59" s="742">
        <f t="shared" si="11"/>
        <v>0.2929777925467994</v>
      </c>
      <c r="M59" s="677">
        <f t="shared" ref="M59:M64" si="21">+I59-K59</f>
        <v>93582427.090000004</v>
      </c>
      <c r="N59" s="647"/>
      <c r="O59" s="647"/>
      <c r="P59" s="647"/>
      <c r="Q59" s="647"/>
      <c r="R59" s="647"/>
      <c r="S59" s="647"/>
      <c r="T59" s="647"/>
      <c r="U59" s="647"/>
      <c r="V59" s="647"/>
      <c r="W59" s="647"/>
      <c r="X59" s="647"/>
      <c r="Y59" s="647"/>
      <c r="Z59" s="647"/>
      <c r="AA59" s="647"/>
      <c r="AB59" s="647"/>
      <c r="AC59" s="647"/>
    </row>
    <row r="60" spans="1:29" s="628" customFormat="1" ht="19.5" customHeight="1">
      <c r="A60" s="647"/>
      <c r="B60" s="648"/>
      <c r="C60" s="648"/>
      <c r="D60" s="679" t="s">
        <v>1083</v>
      </c>
      <c r="E60" s="639">
        <v>42000000</v>
      </c>
      <c r="F60" s="639">
        <v>0</v>
      </c>
      <c r="G60" s="639">
        <v>0</v>
      </c>
      <c r="H60" s="639">
        <f t="shared" si="7"/>
        <v>0</v>
      </c>
      <c r="I60" s="677">
        <f t="shared" si="8"/>
        <v>42000000</v>
      </c>
      <c r="J60" s="677">
        <v>3977005</v>
      </c>
      <c r="K60" s="677">
        <f t="shared" si="20"/>
        <v>3977005</v>
      </c>
      <c r="L60" s="742">
        <f t="shared" si="11"/>
        <v>0.10459473274001693</v>
      </c>
      <c r="M60" s="677">
        <f t="shared" si="21"/>
        <v>38022995</v>
      </c>
      <c r="N60" s="647"/>
      <c r="O60" s="647"/>
      <c r="P60" s="647"/>
      <c r="Q60" s="647"/>
      <c r="R60" s="647"/>
      <c r="S60" s="647"/>
      <c r="T60" s="647"/>
      <c r="U60" s="647"/>
      <c r="V60" s="647"/>
      <c r="W60" s="647"/>
      <c r="X60" s="647"/>
      <c r="Y60" s="647"/>
      <c r="Z60" s="647"/>
      <c r="AA60" s="647"/>
      <c r="AB60" s="647"/>
      <c r="AC60" s="647"/>
    </row>
    <row r="61" spans="1:29" s="628" customFormat="1" ht="19.5" customHeight="1">
      <c r="A61" s="647"/>
      <c r="B61" s="648"/>
      <c r="C61" s="648"/>
      <c r="D61" s="679" t="s">
        <v>1084</v>
      </c>
      <c r="E61" s="639">
        <v>3500000000</v>
      </c>
      <c r="F61" s="639">
        <v>0</v>
      </c>
      <c r="G61" s="639">
        <v>0</v>
      </c>
      <c r="H61" s="639">
        <f t="shared" si="7"/>
        <v>0</v>
      </c>
      <c r="I61" s="677">
        <f t="shared" si="8"/>
        <v>3500000000</v>
      </c>
      <c r="J61" s="677">
        <v>607847825</v>
      </c>
      <c r="K61" s="677">
        <f t="shared" si="20"/>
        <v>607847825</v>
      </c>
      <c r="L61" s="742">
        <f t="shared" si="11"/>
        <v>0.21017145302874665</v>
      </c>
      <c r="M61" s="677">
        <f t="shared" si="21"/>
        <v>2892152175</v>
      </c>
      <c r="N61" s="647"/>
      <c r="O61" s="647"/>
      <c r="P61" s="647"/>
      <c r="Q61" s="647"/>
      <c r="R61" s="647"/>
      <c r="S61" s="647"/>
      <c r="T61" s="647"/>
      <c r="U61" s="647"/>
      <c r="V61" s="647"/>
      <c r="W61" s="647"/>
      <c r="X61" s="647"/>
      <c r="Y61" s="647"/>
      <c r="Z61" s="647"/>
      <c r="AA61" s="647"/>
      <c r="AB61" s="647"/>
      <c r="AC61" s="647"/>
    </row>
    <row r="62" spans="1:29" s="628" customFormat="1" ht="19.5" customHeight="1">
      <c r="A62" s="647"/>
      <c r="B62" s="648"/>
      <c r="C62" s="648"/>
      <c r="D62" s="679" t="s">
        <v>1085</v>
      </c>
      <c r="E62" s="639">
        <v>40000000</v>
      </c>
      <c r="F62" s="639">
        <v>0</v>
      </c>
      <c r="G62" s="639">
        <v>0</v>
      </c>
      <c r="H62" s="639">
        <f t="shared" si="7"/>
        <v>0</v>
      </c>
      <c r="I62" s="677">
        <f t="shared" si="8"/>
        <v>40000000</v>
      </c>
      <c r="J62" s="677">
        <v>6248418</v>
      </c>
      <c r="K62" s="677">
        <f t="shared" si="20"/>
        <v>6248418</v>
      </c>
      <c r="L62" s="742">
        <f t="shared" si="11"/>
        <v>0.18512963333096505</v>
      </c>
      <c r="M62" s="677">
        <f t="shared" si="21"/>
        <v>33751582</v>
      </c>
      <c r="N62" s="647"/>
      <c r="O62" s="647"/>
      <c r="P62" s="647"/>
      <c r="Q62" s="647"/>
      <c r="R62" s="647"/>
      <c r="S62" s="647"/>
      <c r="T62" s="647"/>
      <c r="U62" s="647"/>
      <c r="V62" s="647"/>
      <c r="W62" s="647"/>
      <c r="X62" s="647"/>
      <c r="Y62" s="647"/>
      <c r="Z62" s="647"/>
      <c r="AA62" s="647"/>
      <c r="AB62" s="647"/>
      <c r="AC62" s="647"/>
    </row>
    <row r="63" spans="1:29" s="628" customFormat="1" ht="19.5" customHeight="1">
      <c r="A63" s="647"/>
      <c r="B63" s="648"/>
      <c r="C63" s="648"/>
      <c r="D63" s="679" t="s">
        <v>1086</v>
      </c>
      <c r="E63" s="639">
        <v>150000000</v>
      </c>
      <c r="F63" s="639">
        <v>0</v>
      </c>
      <c r="G63" s="639">
        <v>0</v>
      </c>
      <c r="H63" s="639">
        <f t="shared" si="7"/>
        <v>0</v>
      </c>
      <c r="I63" s="677">
        <f t="shared" si="8"/>
        <v>150000000</v>
      </c>
      <c r="J63" s="677">
        <v>26863136</v>
      </c>
      <c r="K63" s="677">
        <f t="shared" si="20"/>
        <v>26863136</v>
      </c>
      <c r="L63" s="742">
        <f t="shared" si="11"/>
        <v>0.21815673330774446</v>
      </c>
      <c r="M63" s="677">
        <f t="shared" si="21"/>
        <v>123136864</v>
      </c>
      <c r="N63" s="647"/>
      <c r="O63" s="647"/>
      <c r="P63" s="647"/>
      <c r="Q63" s="647"/>
      <c r="R63" s="647"/>
      <c r="S63" s="647"/>
      <c r="T63" s="647"/>
      <c r="U63" s="647"/>
      <c r="V63" s="647"/>
      <c r="W63" s="647"/>
      <c r="X63" s="647"/>
      <c r="Y63" s="647"/>
      <c r="Z63" s="647"/>
      <c r="AA63" s="647"/>
      <c r="AB63" s="647"/>
      <c r="AC63" s="647"/>
    </row>
    <row r="64" spans="1:29" s="628" customFormat="1" ht="19.5" customHeight="1">
      <c r="A64" s="647"/>
      <c r="B64" s="648"/>
      <c r="C64" s="648"/>
      <c r="D64" s="679" t="s">
        <v>1087</v>
      </c>
      <c r="E64" s="639">
        <v>100000000</v>
      </c>
      <c r="F64" s="639">
        <v>0</v>
      </c>
      <c r="G64" s="639">
        <v>0</v>
      </c>
      <c r="H64" s="639">
        <f t="shared" si="7"/>
        <v>0</v>
      </c>
      <c r="I64" s="677">
        <f t="shared" si="8"/>
        <v>100000000</v>
      </c>
      <c r="J64" s="677">
        <v>4242190</v>
      </c>
      <c r="K64" s="677">
        <f t="shared" si="20"/>
        <v>4242190</v>
      </c>
      <c r="L64" s="742">
        <f t="shared" si="11"/>
        <v>4.4301242896010257E-2</v>
      </c>
      <c r="M64" s="677">
        <f t="shared" si="21"/>
        <v>95757810</v>
      </c>
      <c r="N64" s="647"/>
      <c r="O64" s="647"/>
      <c r="P64" s="647"/>
      <c r="Q64" s="647"/>
      <c r="R64" s="647"/>
      <c r="S64" s="647"/>
      <c r="T64" s="647"/>
      <c r="U64" s="647"/>
      <c r="V64" s="647"/>
      <c r="W64" s="647"/>
      <c r="X64" s="647"/>
      <c r="Y64" s="647"/>
      <c r="Z64" s="647"/>
      <c r="AA64" s="647"/>
      <c r="AB64" s="647"/>
      <c r="AC64" s="647"/>
    </row>
    <row r="65" spans="1:29" s="628" customFormat="1" ht="19.5" customHeight="1">
      <c r="A65" s="647"/>
      <c r="B65" s="648"/>
      <c r="C65" s="648"/>
      <c r="D65" s="679" t="s">
        <v>512</v>
      </c>
      <c r="E65" s="677">
        <f>+E66</f>
        <v>31546516817</v>
      </c>
      <c r="F65" s="677">
        <f t="shared" ref="F65:K65" si="22">+F66</f>
        <v>0</v>
      </c>
      <c r="G65" s="677">
        <f t="shared" si="22"/>
        <v>0</v>
      </c>
      <c r="H65" s="677">
        <f t="shared" si="22"/>
        <v>0</v>
      </c>
      <c r="I65" s="677">
        <f t="shared" si="22"/>
        <v>31546516817</v>
      </c>
      <c r="J65" s="677">
        <f t="shared" si="22"/>
        <v>5424122</v>
      </c>
      <c r="K65" s="677">
        <f t="shared" si="22"/>
        <v>5424122</v>
      </c>
      <c r="L65" s="742">
        <f t="shared" si="11"/>
        <v>1.719700091702863E-4</v>
      </c>
      <c r="M65" s="677">
        <f>+M66</f>
        <v>31541092695</v>
      </c>
      <c r="N65" s="647"/>
      <c r="O65" s="647"/>
      <c r="P65" s="647"/>
      <c r="Q65" s="647"/>
      <c r="R65" s="647"/>
      <c r="S65" s="647"/>
      <c r="T65" s="647"/>
      <c r="U65" s="647"/>
      <c r="V65" s="647"/>
      <c r="W65" s="647"/>
      <c r="X65" s="647"/>
      <c r="Y65" s="647"/>
      <c r="Z65" s="647"/>
      <c r="AA65" s="647"/>
      <c r="AB65" s="647"/>
      <c r="AC65" s="647"/>
    </row>
    <row r="66" spans="1:29" s="628" customFormat="1" ht="19.5" customHeight="1">
      <c r="A66" s="647"/>
      <c r="B66" s="648"/>
      <c r="C66" s="648"/>
      <c r="D66" s="679" t="s">
        <v>513</v>
      </c>
      <c r="E66" s="677">
        <f>+E67+E71+E79+E92</f>
        <v>31546516817</v>
      </c>
      <c r="F66" s="677">
        <f t="shared" ref="F66:K66" si="23">+F67+F71+F79+F92</f>
        <v>0</v>
      </c>
      <c r="G66" s="677">
        <f t="shared" si="23"/>
        <v>0</v>
      </c>
      <c r="H66" s="677">
        <f t="shared" si="23"/>
        <v>0</v>
      </c>
      <c r="I66" s="677">
        <f t="shared" si="23"/>
        <v>31546516817</v>
      </c>
      <c r="J66" s="677">
        <f t="shared" si="23"/>
        <v>5424122</v>
      </c>
      <c r="K66" s="677">
        <f t="shared" si="23"/>
        <v>5424122</v>
      </c>
      <c r="L66" s="742">
        <f t="shared" si="11"/>
        <v>1.719700091702863E-4</v>
      </c>
      <c r="M66" s="677">
        <f>+M67+M71+M79+M92</f>
        <v>31541092695</v>
      </c>
      <c r="N66" s="647"/>
      <c r="O66" s="647"/>
      <c r="P66" s="647"/>
      <c r="Q66" s="647"/>
      <c r="R66" s="647"/>
      <c r="S66" s="647"/>
      <c r="T66" s="647"/>
      <c r="U66" s="647"/>
      <c r="V66" s="647"/>
      <c r="W66" s="647"/>
      <c r="X66" s="647"/>
      <c r="Y66" s="647"/>
      <c r="Z66" s="647"/>
      <c r="AA66" s="647"/>
      <c r="AB66" s="647"/>
      <c r="AC66" s="647"/>
    </row>
    <row r="67" spans="1:29" s="628" customFormat="1" ht="19.5" customHeight="1">
      <c r="A67" s="647"/>
      <c r="B67" s="648"/>
      <c r="C67" s="648"/>
      <c r="D67" s="679" t="s">
        <v>514</v>
      </c>
      <c r="E67" s="677">
        <f>SUM(E68:E70)</f>
        <v>28285113120</v>
      </c>
      <c r="F67" s="677">
        <f t="shared" ref="F67:K67" si="24">SUM(F68:F70)</f>
        <v>0</v>
      </c>
      <c r="G67" s="677">
        <f t="shared" si="24"/>
        <v>0</v>
      </c>
      <c r="H67" s="677">
        <f t="shared" si="24"/>
        <v>0</v>
      </c>
      <c r="I67" s="677">
        <f t="shared" si="24"/>
        <v>28285113120</v>
      </c>
      <c r="J67" s="677">
        <f t="shared" si="24"/>
        <v>0</v>
      </c>
      <c r="K67" s="677">
        <f t="shared" si="24"/>
        <v>0</v>
      </c>
      <c r="L67" s="742">
        <f t="shared" si="11"/>
        <v>0</v>
      </c>
      <c r="M67" s="677">
        <f>SUM(M68:M70)</f>
        <v>28285113120</v>
      </c>
      <c r="N67" s="647"/>
      <c r="O67" s="647"/>
      <c r="P67" s="647"/>
      <c r="Q67" s="647"/>
      <c r="R67" s="647"/>
      <c r="S67" s="647"/>
      <c r="T67" s="647"/>
      <c r="U67" s="647"/>
      <c r="V67" s="647"/>
      <c r="W67" s="647"/>
      <c r="X67" s="647"/>
      <c r="Y67" s="647"/>
      <c r="Z67" s="647"/>
      <c r="AA67" s="647"/>
      <c r="AB67" s="647"/>
      <c r="AC67" s="647"/>
    </row>
    <row r="68" spans="1:29" s="628" customFormat="1" ht="19.5" customHeight="1">
      <c r="A68" s="647"/>
      <c r="B68" s="648"/>
      <c r="C68" s="648"/>
      <c r="D68" s="679" t="s">
        <v>1088</v>
      </c>
      <c r="E68" s="677">
        <v>27000000000</v>
      </c>
      <c r="F68" s="639">
        <v>0</v>
      </c>
      <c r="G68" s="639">
        <v>0</v>
      </c>
      <c r="H68" s="639">
        <f t="shared" si="7"/>
        <v>0</v>
      </c>
      <c r="I68" s="677">
        <f t="shared" si="8"/>
        <v>27000000000</v>
      </c>
      <c r="J68" s="677">
        <v>0</v>
      </c>
      <c r="K68" s="677">
        <f t="shared" ref="K68:K70" si="25">+J68</f>
        <v>0</v>
      </c>
      <c r="L68" s="742">
        <f t="shared" si="11"/>
        <v>0</v>
      </c>
      <c r="M68" s="677">
        <f t="shared" ref="M68:M70" si="26">+I68-K68</f>
        <v>27000000000</v>
      </c>
      <c r="N68" s="647"/>
      <c r="O68" s="647"/>
      <c r="P68" s="647"/>
      <c r="Q68" s="647"/>
      <c r="R68" s="647"/>
      <c r="S68" s="647"/>
      <c r="T68" s="647"/>
      <c r="U68" s="647"/>
      <c r="V68" s="647"/>
      <c r="W68" s="647"/>
      <c r="X68" s="647"/>
      <c r="Y68" s="647"/>
      <c r="Z68" s="647"/>
      <c r="AA68" s="647"/>
      <c r="AB68" s="647"/>
      <c r="AC68" s="647"/>
    </row>
    <row r="69" spans="1:29" s="628" customFormat="1" ht="19.5" customHeight="1">
      <c r="A69" s="647"/>
      <c r="B69" s="648"/>
      <c r="C69" s="648"/>
      <c r="D69" s="679" t="s">
        <v>1089</v>
      </c>
      <c r="E69" s="677">
        <v>1235268825</v>
      </c>
      <c r="F69" s="639">
        <v>0</v>
      </c>
      <c r="G69" s="639">
        <v>0</v>
      </c>
      <c r="H69" s="639">
        <f t="shared" si="7"/>
        <v>0</v>
      </c>
      <c r="I69" s="677">
        <f t="shared" si="8"/>
        <v>1235268825</v>
      </c>
      <c r="J69" s="677">
        <v>0</v>
      </c>
      <c r="K69" s="677">
        <f t="shared" si="25"/>
        <v>0</v>
      </c>
      <c r="L69" s="742">
        <f t="shared" si="11"/>
        <v>0</v>
      </c>
      <c r="M69" s="677">
        <f t="shared" si="26"/>
        <v>1235268825</v>
      </c>
      <c r="N69" s="647"/>
      <c r="O69" s="647"/>
      <c r="P69" s="647"/>
      <c r="Q69" s="647"/>
      <c r="R69" s="647"/>
      <c r="S69" s="647"/>
      <c r="T69" s="647"/>
      <c r="U69" s="647"/>
      <c r="V69" s="647"/>
      <c r="W69" s="647"/>
      <c r="X69" s="647"/>
      <c r="Y69" s="647"/>
      <c r="Z69" s="647"/>
      <c r="AA69" s="647"/>
      <c r="AB69" s="647"/>
      <c r="AC69" s="647"/>
    </row>
    <row r="70" spans="1:29" s="628" customFormat="1" ht="19.5" customHeight="1">
      <c r="A70" s="647"/>
      <c r="B70" s="648"/>
      <c r="C70" s="648"/>
      <c r="D70" s="679" t="s">
        <v>1090</v>
      </c>
      <c r="E70" s="677">
        <v>49844295</v>
      </c>
      <c r="F70" s="639">
        <v>0</v>
      </c>
      <c r="G70" s="639">
        <v>0</v>
      </c>
      <c r="H70" s="639">
        <f t="shared" si="7"/>
        <v>0</v>
      </c>
      <c r="I70" s="677">
        <f t="shared" si="8"/>
        <v>49844295</v>
      </c>
      <c r="J70" s="677">
        <v>0</v>
      </c>
      <c r="K70" s="677">
        <f t="shared" si="25"/>
        <v>0</v>
      </c>
      <c r="L70" s="742">
        <f t="shared" si="11"/>
        <v>0</v>
      </c>
      <c r="M70" s="677">
        <f t="shared" si="26"/>
        <v>49844295</v>
      </c>
      <c r="N70" s="647"/>
      <c r="O70" s="647"/>
      <c r="P70" s="647"/>
      <c r="Q70" s="647"/>
      <c r="R70" s="647"/>
      <c r="S70" s="647"/>
      <c r="T70" s="647"/>
      <c r="U70" s="647"/>
      <c r="V70" s="647"/>
      <c r="W70" s="647"/>
      <c r="X70" s="647"/>
      <c r="Y70" s="647"/>
      <c r="Z70" s="647"/>
      <c r="AA70" s="647"/>
      <c r="AB70" s="647"/>
      <c r="AC70" s="647"/>
    </row>
    <row r="71" spans="1:29" s="628" customFormat="1" ht="19.5" customHeight="1">
      <c r="A71" s="647"/>
      <c r="B71" s="648"/>
      <c r="C71" s="648"/>
      <c r="D71" s="679" t="s">
        <v>1094</v>
      </c>
      <c r="E71" s="677">
        <f>SUM(E72:E78)</f>
        <v>144979410</v>
      </c>
      <c r="F71" s="677">
        <f t="shared" ref="F71:K71" si="27">SUM(F72:F78)</f>
        <v>0</v>
      </c>
      <c r="G71" s="677">
        <f t="shared" si="27"/>
        <v>0</v>
      </c>
      <c r="H71" s="677">
        <f t="shared" si="27"/>
        <v>0</v>
      </c>
      <c r="I71" s="677">
        <f t="shared" si="27"/>
        <v>144979410</v>
      </c>
      <c r="J71" s="677">
        <f t="shared" si="27"/>
        <v>1673822</v>
      </c>
      <c r="K71" s="677">
        <f t="shared" si="27"/>
        <v>1673822</v>
      </c>
      <c r="L71" s="742">
        <f t="shared" si="11"/>
        <v>1.1680088846221405E-2</v>
      </c>
      <c r="M71" s="677">
        <f>SUM(M72:M78)</f>
        <v>143305588</v>
      </c>
      <c r="N71" s="647"/>
      <c r="O71" s="647"/>
      <c r="P71" s="647"/>
      <c r="Q71" s="647"/>
      <c r="R71" s="647"/>
      <c r="S71" s="647"/>
      <c r="T71" s="647"/>
      <c r="U71" s="647"/>
      <c r="V71" s="647"/>
      <c r="W71" s="647"/>
      <c r="X71" s="647"/>
      <c r="Y71" s="647"/>
      <c r="Z71" s="647"/>
      <c r="AA71" s="647"/>
      <c r="AB71" s="647"/>
      <c r="AC71" s="647"/>
    </row>
    <row r="72" spans="1:29" s="628" customFormat="1" ht="23.25" customHeight="1">
      <c r="A72" s="647"/>
      <c r="B72" s="648"/>
      <c r="C72" s="648"/>
      <c r="D72" s="679" t="s">
        <v>1095</v>
      </c>
      <c r="E72" s="677">
        <v>15420000</v>
      </c>
      <c r="F72" s="639">
        <v>0</v>
      </c>
      <c r="G72" s="639">
        <v>0</v>
      </c>
      <c r="H72" s="639">
        <f t="shared" si="7"/>
        <v>0</v>
      </c>
      <c r="I72" s="677">
        <f t="shared" si="8"/>
        <v>15420000</v>
      </c>
      <c r="J72" s="677">
        <v>0</v>
      </c>
      <c r="K72" s="677">
        <f t="shared" ref="K72:K78" si="28">+J72</f>
        <v>0</v>
      </c>
      <c r="L72" s="742">
        <f t="shared" si="11"/>
        <v>0</v>
      </c>
      <c r="M72" s="677">
        <f t="shared" ref="M72:M78" si="29">+I72-K72</f>
        <v>15420000</v>
      </c>
      <c r="N72" s="647"/>
      <c r="O72" s="647"/>
      <c r="P72" s="647"/>
      <c r="Q72" s="647"/>
      <c r="R72" s="647"/>
      <c r="S72" s="647"/>
      <c r="T72" s="647"/>
      <c r="U72" s="647"/>
      <c r="V72" s="647"/>
      <c r="W72" s="647"/>
      <c r="X72" s="647"/>
      <c r="Y72" s="647"/>
      <c r="Z72" s="647"/>
      <c r="AA72" s="647"/>
      <c r="AB72" s="647"/>
      <c r="AC72" s="647"/>
    </row>
    <row r="73" spans="1:29" s="628" customFormat="1" ht="19.5" customHeight="1">
      <c r="A73" s="647"/>
      <c r="B73" s="648"/>
      <c r="C73" s="648"/>
      <c r="D73" s="679" t="s">
        <v>1096</v>
      </c>
      <c r="E73" s="677">
        <v>23803901</v>
      </c>
      <c r="F73" s="639">
        <v>0</v>
      </c>
      <c r="G73" s="639">
        <v>0</v>
      </c>
      <c r="H73" s="639">
        <f t="shared" si="7"/>
        <v>0</v>
      </c>
      <c r="I73" s="677">
        <f t="shared" si="8"/>
        <v>23803901</v>
      </c>
      <c r="J73" s="677">
        <v>0</v>
      </c>
      <c r="K73" s="677">
        <f t="shared" si="28"/>
        <v>0</v>
      </c>
      <c r="L73" s="742">
        <f t="shared" si="11"/>
        <v>0</v>
      </c>
      <c r="M73" s="677">
        <f t="shared" si="29"/>
        <v>23803901</v>
      </c>
      <c r="N73" s="647"/>
      <c r="O73" s="647"/>
      <c r="P73" s="647"/>
      <c r="Q73" s="647"/>
      <c r="R73" s="647"/>
      <c r="S73" s="647"/>
      <c r="T73" s="647"/>
      <c r="U73" s="647"/>
      <c r="V73" s="647"/>
      <c r="W73" s="647"/>
      <c r="X73" s="647"/>
      <c r="Y73" s="647"/>
      <c r="Z73" s="647"/>
      <c r="AA73" s="647"/>
      <c r="AB73" s="647"/>
      <c r="AC73" s="647"/>
    </row>
    <row r="74" spans="1:29" s="628" customFormat="1" ht="19.5" customHeight="1">
      <c r="A74" s="647"/>
      <c r="B74" s="648"/>
      <c r="C74" s="648"/>
      <c r="D74" s="679" t="s">
        <v>1097</v>
      </c>
      <c r="E74" s="677">
        <v>12102246</v>
      </c>
      <c r="F74" s="639">
        <v>0</v>
      </c>
      <c r="G74" s="639">
        <v>0</v>
      </c>
      <c r="H74" s="639">
        <f t="shared" si="7"/>
        <v>0</v>
      </c>
      <c r="I74" s="677">
        <f t="shared" si="8"/>
        <v>12102246</v>
      </c>
      <c r="J74" s="677">
        <v>0</v>
      </c>
      <c r="K74" s="677">
        <f t="shared" si="28"/>
        <v>0</v>
      </c>
      <c r="L74" s="742">
        <f t="shared" si="11"/>
        <v>0</v>
      </c>
      <c r="M74" s="677">
        <f t="shared" si="29"/>
        <v>12102246</v>
      </c>
      <c r="N74" s="647"/>
      <c r="O74" s="647"/>
      <c r="P74" s="647"/>
      <c r="Q74" s="647"/>
      <c r="R74" s="647"/>
      <c r="S74" s="647"/>
      <c r="T74" s="647"/>
      <c r="U74" s="647"/>
      <c r="V74" s="647"/>
      <c r="W74" s="647"/>
      <c r="X74" s="647"/>
      <c r="Y74" s="647"/>
      <c r="Z74" s="647"/>
      <c r="AA74" s="647"/>
      <c r="AB74" s="647"/>
      <c r="AC74" s="647"/>
    </row>
    <row r="75" spans="1:29" s="628" customFormat="1" ht="19.5" customHeight="1">
      <c r="A75" s="647"/>
      <c r="B75" s="648"/>
      <c r="C75" s="648"/>
      <c r="D75" s="679" t="s">
        <v>1098</v>
      </c>
      <c r="E75" s="677">
        <v>21359794</v>
      </c>
      <c r="F75" s="639">
        <v>0</v>
      </c>
      <c r="G75" s="639">
        <v>0</v>
      </c>
      <c r="H75" s="639">
        <f t="shared" si="7"/>
        <v>0</v>
      </c>
      <c r="I75" s="677">
        <f t="shared" si="8"/>
        <v>21359794</v>
      </c>
      <c r="J75" s="677">
        <v>1673822</v>
      </c>
      <c r="K75" s="677">
        <f t="shared" si="28"/>
        <v>1673822</v>
      </c>
      <c r="L75" s="742">
        <f t="shared" si="11"/>
        <v>8.5026129266058084E-2</v>
      </c>
      <c r="M75" s="677">
        <f t="shared" si="29"/>
        <v>19685972</v>
      </c>
      <c r="N75" s="647"/>
      <c r="O75" s="647"/>
      <c r="P75" s="647"/>
      <c r="Q75" s="647"/>
      <c r="R75" s="647"/>
      <c r="S75" s="647"/>
      <c r="T75" s="647"/>
      <c r="U75" s="647"/>
      <c r="V75" s="647"/>
      <c r="W75" s="647"/>
      <c r="X75" s="647"/>
      <c r="Y75" s="647"/>
      <c r="Z75" s="647"/>
      <c r="AA75" s="647"/>
      <c r="AB75" s="647"/>
      <c r="AC75" s="647"/>
    </row>
    <row r="76" spans="1:29" s="628" customFormat="1" ht="19.5" customHeight="1">
      <c r="A76" s="647"/>
      <c r="B76" s="648"/>
      <c r="C76" s="648"/>
      <c r="D76" s="679" t="s">
        <v>1099</v>
      </c>
      <c r="E76" s="677">
        <v>17597266</v>
      </c>
      <c r="F76" s="639">
        <v>0</v>
      </c>
      <c r="G76" s="639">
        <v>0</v>
      </c>
      <c r="H76" s="639">
        <f t="shared" si="7"/>
        <v>0</v>
      </c>
      <c r="I76" s="677">
        <f t="shared" si="8"/>
        <v>17597266</v>
      </c>
      <c r="J76" s="677">
        <v>0</v>
      </c>
      <c r="K76" s="677">
        <f t="shared" si="28"/>
        <v>0</v>
      </c>
      <c r="L76" s="742">
        <f t="shared" si="11"/>
        <v>0</v>
      </c>
      <c r="M76" s="677">
        <f t="shared" si="29"/>
        <v>17597266</v>
      </c>
      <c r="N76" s="647"/>
      <c r="O76" s="647"/>
      <c r="P76" s="647"/>
      <c r="Q76" s="647"/>
      <c r="R76" s="647"/>
      <c r="S76" s="647"/>
      <c r="T76" s="647"/>
      <c r="U76" s="647"/>
      <c r="V76" s="647"/>
      <c r="W76" s="647"/>
      <c r="X76" s="647"/>
      <c r="Y76" s="647"/>
      <c r="Z76" s="647"/>
      <c r="AA76" s="647"/>
      <c r="AB76" s="647"/>
      <c r="AC76" s="647"/>
    </row>
    <row r="77" spans="1:29" s="628" customFormat="1" ht="19.5" customHeight="1">
      <c r="A77" s="647"/>
      <c r="B77" s="648"/>
      <c r="C77" s="648"/>
      <c r="D77" s="679" t="s">
        <v>1100</v>
      </c>
      <c r="E77" s="677">
        <v>21257440</v>
      </c>
      <c r="F77" s="639">
        <v>0</v>
      </c>
      <c r="G77" s="639">
        <v>0</v>
      </c>
      <c r="H77" s="639">
        <f t="shared" si="7"/>
        <v>0</v>
      </c>
      <c r="I77" s="677">
        <f t="shared" si="8"/>
        <v>21257440</v>
      </c>
      <c r="J77" s="677">
        <v>0</v>
      </c>
      <c r="K77" s="677">
        <f t="shared" si="28"/>
        <v>0</v>
      </c>
      <c r="L77" s="742">
        <f t="shared" si="11"/>
        <v>0</v>
      </c>
      <c r="M77" s="677">
        <f t="shared" si="29"/>
        <v>21257440</v>
      </c>
      <c r="N77" s="647"/>
      <c r="O77" s="647"/>
      <c r="P77" s="647"/>
      <c r="Q77" s="647"/>
      <c r="R77" s="647"/>
      <c r="S77" s="647"/>
      <c r="T77" s="647"/>
      <c r="U77" s="647"/>
      <c r="V77" s="647"/>
      <c r="W77" s="647"/>
      <c r="X77" s="647"/>
      <c r="Y77" s="647"/>
      <c r="Z77" s="647"/>
      <c r="AA77" s="647"/>
      <c r="AB77" s="647"/>
      <c r="AC77" s="647"/>
    </row>
    <row r="78" spans="1:29" s="628" customFormat="1" ht="19.5" customHeight="1">
      <c r="A78" s="647"/>
      <c r="B78" s="648"/>
      <c r="C78" s="648"/>
      <c r="D78" s="679" t="s">
        <v>1101</v>
      </c>
      <c r="E78" s="677">
        <v>33438763</v>
      </c>
      <c r="F78" s="639">
        <v>0</v>
      </c>
      <c r="G78" s="639">
        <v>0</v>
      </c>
      <c r="H78" s="639">
        <f t="shared" si="7"/>
        <v>0</v>
      </c>
      <c r="I78" s="677">
        <f t="shared" si="8"/>
        <v>33438763</v>
      </c>
      <c r="J78" s="677">
        <v>0</v>
      </c>
      <c r="K78" s="677">
        <f t="shared" si="28"/>
        <v>0</v>
      </c>
      <c r="L78" s="742">
        <f t="shared" si="11"/>
        <v>0</v>
      </c>
      <c r="M78" s="677">
        <f t="shared" si="29"/>
        <v>33438763</v>
      </c>
      <c r="N78" s="647"/>
      <c r="O78" s="647"/>
      <c r="P78" s="647"/>
      <c r="Q78" s="647"/>
      <c r="R78" s="647"/>
      <c r="S78" s="647"/>
      <c r="T78" s="647"/>
      <c r="U78" s="647"/>
      <c r="V78" s="647"/>
      <c r="W78" s="647"/>
      <c r="X78" s="647"/>
      <c r="Y78" s="647"/>
      <c r="Z78" s="647"/>
      <c r="AA78" s="647"/>
      <c r="AB78" s="647"/>
      <c r="AC78" s="647"/>
    </row>
    <row r="79" spans="1:29" s="628" customFormat="1" ht="19.5" customHeight="1">
      <c r="A79" s="647"/>
      <c r="B79" s="648"/>
      <c r="C79" s="648"/>
      <c r="D79" s="679" t="s">
        <v>1102</v>
      </c>
      <c r="E79" s="677">
        <f>SUM(E80:E91)</f>
        <v>37334538</v>
      </c>
      <c r="F79" s="677">
        <f t="shared" ref="F79:M79" si="30">SUM(F80:F91)</f>
        <v>0</v>
      </c>
      <c r="G79" s="677">
        <f t="shared" si="30"/>
        <v>0</v>
      </c>
      <c r="H79" s="677">
        <f t="shared" si="30"/>
        <v>0</v>
      </c>
      <c r="I79" s="677">
        <f t="shared" si="30"/>
        <v>37334538</v>
      </c>
      <c r="J79" s="677">
        <f t="shared" si="30"/>
        <v>0</v>
      </c>
      <c r="K79" s="677">
        <f t="shared" si="30"/>
        <v>0</v>
      </c>
      <c r="L79" s="742">
        <f t="shared" si="11"/>
        <v>0</v>
      </c>
      <c r="M79" s="677">
        <f t="shared" si="30"/>
        <v>37334538</v>
      </c>
      <c r="N79" s="647"/>
      <c r="O79" s="647"/>
      <c r="P79" s="647"/>
      <c r="Q79" s="647"/>
      <c r="R79" s="647"/>
      <c r="S79" s="647"/>
      <c r="T79" s="647"/>
      <c r="U79" s="647"/>
      <c r="V79" s="647"/>
      <c r="W79" s="647"/>
      <c r="X79" s="647"/>
      <c r="Y79" s="647"/>
      <c r="Z79" s="647"/>
      <c r="AA79" s="647"/>
      <c r="AB79" s="647"/>
      <c r="AC79" s="647"/>
    </row>
    <row r="80" spans="1:29" s="628" customFormat="1" ht="19.5" customHeight="1">
      <c r="A80" s="647"/>
      <c r="B80" s="648"/>
      <c r="C80" s="648"/>
      <c r="D80" s="679" t="s">
        <v>1103</v>
      </c>
      <c r="E80" s="677">
        <v>6337788</v>
      </c>
      <c r="F80" s="639">
        <v>0</v>
      </c>
      <c r="G80" s="639">
        <v>0</v>
      </c>
      <c r="H80" s="639">
        <f t="shared" ref="H80:H101" si="31">+F80-G80</f>
        <v>0</v>
      </c>
      <c r="I80" s="677">
        <f t="shared" si="8"/>
        <v>6337788</v>
      </c>
      <c r="J80" s="677">
        <v>0</v>
      </c>
      <c r="K80" s="677">
        <f t="shared" ref="K80:K91" si="32">+J80</f>
        <v>0</v>
      </c>
      <c r="L80" s="742">
        <f t="shared" si="11"/>
        <v>0</v>
      </c>
      <c r="M80" s="677">
        <f t="shared" ref="M80:M91" si="33">+I80-K80</f>
        <v>6337788</v>
      </c>
      <c r="N80" s="647"/>
      <c r="O80" s="647"/>
      <c r="P80" s="647"/>
      <c r="Q80" s="647"/>
      <c r="R80" s="647"/>
      <c r="S80" s="647"/>
      <c r="T80" s="647"/>
      <c r="U80" s="647"/>
      <c r="V80" s="647"/>
      <c r="W80" s="647"/>
      <c r="X80" s="647"/>
      <c r="Y80" s="647"/>
      <c r="Z80" s="647"/>
      <c r="AA80" s="647"/>
      <c r="AB80" s="647"/>
      <c r="AC80" s="647"/>
    </row>
    <row r="81" spans="1:29" s="628" customFormat="1" ht="19.5" customHeight="1">
      <c r="A81" s="647"/>
      <c r="B81" s="648"/>
      <c r="C81" s="648"/>
      <c r="D81" s="679" t="s">
        <v>1104</v>
      </c>
      <c r="E81" s="677">
        <v>4828617</v>
      </c>
      <c r="F81" s="639">
        <v>0</v>
      </c>
      <c r="G81" s="639">
        <v>0</v>
      </c>
      <c r="H81" s="639">
        <f t="shared" si="31"/>
        <v>0</v>
      </c>
      <c r="I81" s="677">
        <f t="shared" si="8"/>
        <v>4828617</v>
      </c>
      <c r="J81" s="677">
        <v>0</v>
      </c>
      <c r="K81" s="677">
        <f t="shared" si="32"/>
        <v>0</v>
      </c>
      <c r="L81" s="742">
        <f t="shared" si="11"/>
        <v>0</v>
      </c>
      <c r="M81" s="677">
        <f t="shared" si="33"/>
        <v>4828617</v>
      </c>
      <c r="N81" s="647"/>
      <c r="O81" s="647"/>
      <c r="P81" s="647"/>
      <c r="Q81" s="647"/>
      <c r="R81" s="647"/>
      <c r="S81" s="647"/>
      <c r="T81" s="647"/>
      <c r="U81" s="647"/>
      <c r="V81" s="647"/>
      <c r="W81" s="647"/>
      <c r="X81" s="647"/>
      <c r="Y81" s="647"/>
      <c r="Z81" s="647"/>
      <c r="AA81" s="647"/>
      <c r="AB81" s="647"/>
      <c r="AC81" s="647"/>
    </row>
    <row r="82" spans="1:29" s="628" customFormat="1" ht="19.5" customHeight="1">
      <c r="A82" s="647"/>
      <c r="B82" s="648"/>
      <c r="C82" s="648"/>
      <c r="D82" s="679" t="s">
        <v>1105</v>
      </c>
      <c r="E82" s="677">
        <v>2061248</v>
      </c>
      <c r="F82" s="639">
        <v>0</v>
      </c>
      <c r="G82" s="639">
        <v>0</v>
      </c>
      <c r="H82" s="639">
        <f t="shared" si="31"/>
        <v>0</v>
      </c>
      <c r="I82" s="677">
        <f t="shared" si="8"/>
        <v>2061248</v>
      </c>
      <c r="J82" s="677">
        <v>0</v>
      </c>
      <c r="K82" s="677">
        <f t="shared" si="32"/>
        <v>0</v>
      </c>
      <c r="L82" s="742">
        <f t="shared" si="11"/>
        <v>0</v>
      </c>
      <c r="M82" s="677">
        <f t="shared" si="33"/>
        <v>2061248</v>
      </c>
      <c r="N82" s="647"/>
      <c r="O82" s="647"/>
      <c r="P82" s="647"/>
      <c r="Q82" s="647"/>
      <c r="R82" s="647"/>
      <c r="S82" s="647"/>
      <c r="T82" s="647"/>
      <c r="U82" s="647"/>
      <c r="V82" s="647"/>
      <c r="W82" s="647"/>
      <c r="X82" s="647"/>
      <c r="Y82" s="647"/>
      <c r="Z82" s="647"/>
      <c r="AA82" s="647"/>
      <c r="AB82" s="647"/>
      <c r="AC82" s="647"/>
    </row>
    <row r="83" spans="1:29" s="628" customFormat="1" ht="19.5" customHeight="1">
      <c r="A83" s="647"/>
      <c r="B83" s="648"/>
      <c r="C83" s="648"/>
      <c r="D83" s="679" t="s">
        <v>1106</v>
      </c>
      <c r="E83" s="677">
        <v>1131196</v>
      </c>
      <c r="F83" s="639">
        <v>0</v>
      </c>
      <c r="G83" s="639">
        <v>0</v>
      </c>
      <c r="H83" s="639">
        <f t="shared" si="31"/>
        <v>0</v>
      </c>
      <c r="I83" s="677">
        <f t="shared" si="8"/>
        <v>1131196</v>
      </c>
      <c r="J83" s="677">
        <v>0</v>
      </c>
      <c r="K83" s="677">
        <f t="shared" si="32"/>
        <v>0</v>
      </c>
      <c r="L83" s="742">
        <f t="shared" si="11"/>
        <v>0</v>
      </c>
      <c r="M83" s="677">
        <f t="shared" si="33"/>
        <v>1131196</v>
      </c>
      <c r="N83" s="647"/>
      <c r="O83" s="647"/>
      <c r="P83" s="647"/>
      <c r="Q83" s="647"/>
      <c r="R83" s="647"/>
      <c r="S83" s="647"/>
      <c r="T83" s="647"/>
      <c r="U83" s="647"/>
      <c r="V83" s="647"/>
      <c r="W83" s="647"/>
      <c r="X83" s="647"/>
      <c r="Y83" s="647"/>
      <c r="Z83" s="647"/>
      <c r="AA83" s="647"/>
      <c r="AB83" s="647"/>
      <c r="AC83" s="647"/>
    </row>
    <row r="84" spans="1:29" s="628" customFormat="1" ht="19.5" customHeight="1">
      <c r="A84" s="647"/>
      <c r="B84" s="648"/>
      <c r="C84" s="648"/>
      <c r="D84" s="679" t="s">
        <v>1107</v>
      </c>
      <c r="E84" s="677">
        <v>701342</v>
      </c>
      <c r="F84" s="639">
        <v>0</v>
      </c>
      <c r="G84" s="639">
        <v>0</v>
      </c>
      <c r="H84" s="639">
        <f t="shared" si="31"/>
        <v>0</v>
      </c>
      <c r="I84" s="677">
        <f t="shared" si="8"/>
        <v>701342</v>
      </c>
      <c r="J84" s="677">
        <v>0</v>
      </c>
      <c r="K84" s="677">
        <f t="shared" si="32"/>
        <v>0</v>
      </c>
      <c r="L84" s="742">
        <f t="shared" si="11"/>
        <v>0</v>
      </c>
      <c r="M84" s="677">
        <f t="shared" si="33"/>
        <v>701342</v>
      </c>
      <c r="N84" s="647"/>
      <c r="O84" s="647"/>
      <c r="P84" s="647"/>
      <c r="Q84" s="647"/>
      <c r="R84" s="647"/>
      <c r="S84" s="647"/>
      <c r="T84" s="647"/>
      <c r="U84" s="647"/>
      <c r="V84" s="647"/>
      <c r="W84" s="647"/>
      <c r="X84" s="647"/>
      <c r="Y84" s="647"/>
      <c r="Z84" s="647"/>
      <c r="AA84" s="647"/>
      <c r="AB84" s="647"/>
      <c r="AC84" s="647"/>
    </row>
    <row r="85" spans="1:29" s="628" customFormat="1" ht="19.5" customHeight="1">
      <c r="A85" s="647"/>
      <c r="B85" s="648"/>
      <c r="C85" s="648"/>
      <c r="D85" s="679" t="s">
        <v>1108</v>
      </c>
      <c r="E85" s="677">
        <v>520676</v>
      </c>
      <c r="F85" s="639">
        <v>0</v>
      </c>
      <c r="G85" s="639">
        <v>0</v>
      </c>
      <c r="H85" s="639">
        <f t="shared" si="31"/>
        <v>0</v>
      </c>
      <c r="I85" s="677">
        <f t="shared" ref="I85:I101" si="34">+E85+H85</f>
        <v>520676</v>
      </c>
      <c r="J85" s="677">
        <v>0</v>
      </c>
      <c r="K85" s="677">
        <f t="shared" si="32"/>
        <v>0</v>
      </c>
      <c r="L85" s="742">
        <f t="shared" si="11"/>
        <v>0</v>
      </c>
      <c r="M85" s="677">
        <f t="shared" si="33"/>
        <v>520676</v>
      </c>
      <c r="N85" s="647"/>
      <c r="O85" s="647"/>
      <c r="P85" s="647"/>
      <c r="Q85" s="647"/>
      <c r="R85" s="647"/>
      <c r="S85" s="647"/>
      <c r="T85" s="647"/>
      <c r="U85" s="647"/>
      <c r="V85" s="647"/>
      <c r="W85" s="647"/>
      <c r="X85" s="647"/>
      <c r="Y85" s="647"/>
      <c r="Z85" s="647"/>
      <c r="AA85" s="647"/>
      <c r="AB85" s="647"/>
      <c r="AC85" s="647"/>
    </row>
    <row r="86" spans="1:29" s="628" customFormat="1" ht="19.5" customHeight="1">
      <c r="A86" s="647"/>
      <c r="B86" s="648"/>
      <c r="C86" s="648"/>
      <c r="D86" s="679" t="s">
        <v>1109</v>
      </c>
      <c r="E86" s="677">
        <v>1530677</v>
      </c>
      <c r="F86" s="639">
        <v>0</v>
      </c>
      <c r="G86" s="639">
        <v>0</v>
      </c>
      <c r="H86" s="639">
        <f t="shared" si="31"/>
        <v>0</v>
      </c>
      <c r="I86" s="677">
        <f t="shared" si="34"/>
        <v>1530677</v>
      </c>
      <c r="J86" s="677">
        <v>0</v>
      </c>
      <c r="K86" s="677">
        <f t="shared" si="32"/>
        <v>0</v>
      </c>
      <c r="L86" s="742">
        <f t="shared" ref="L86:L101" si="35">+K86/M86</f>
        <v>0</v>
      </c>
      <c r="M86" s="677">
        <f t="shared" si="33"/>
        <v>1530677</v>
      </c>
      <c r="N86" s="647"/>
      <c r="O86" s="647"/>
      <c r="P86" s="647"/>
      <c r="Q86" s="647"/>
      <c r="R86" s="647"/>
      <c r="S86" s="647"/>
      <c r="T86" s="647"/>
      <c r="U86" s="647"/>
      <c r="V86" s="647"/>
      <c r="W86" s="647"/>
      <c r="X86" s="647"/>
      <c r="Y86" s="647"/>
      <c r="Z86" s="647"/>
      <c r="AA86" s="647"/>
      <c r="AB86" s="647"/>
      <c r="AC86" s="647"/>
    </row>
    <row r="87" spans="1:29" s="628" customFormat="1" ht="19.5" customHeight="1">
      <c r="A87" s="647"/>
      <c r="B87" s="648"/>
      <c r="C87" s="648"/>
      <c r="D87" s="679" t="s">
        <v>1110</v>
      </c>
      <c r="E87" s="677">
        <v>17916571</v>
      </c>
      <c r="F87" s="639">
        <v>0</v>
      </c>
      <c r="G87" s="639">
        <v>0</v>
      </c>
      <c r="H87" s="639">
        <f t="shared" si="31"/>
        <v>0</v>
      </c>
      <c r="I87" s="677">
        <f t="shared" si="34"/>
        <v>17916571</v>
      </c>
      <c r="J87" s="677">
        <v>0</v>
      </c>
      <c r="K87" s="677">
        <f t="shared" si="32"/>
        <v>0</v>
      </c>
      <c r="L87" s="742">
        <f t="shared" si="35"/>
        <v>0</v>
      </c>
      <c r="M87" s="677">
        <f t="shared" si="33"/>
        <v>17916571</v>
      </c>
      <c r="N87" s="647"/>
      <c r="O87" s="647"/>
      <c r="P87" s="647"/>
      <c r="Q87" s="647"/>
      <c r="R87" s="647"/>
      <c r="S87" s="647"/>
      <c r="T87" s="647"/>
      <c r="U87" s="647"/>
      <c r="V87" s="647"/>
      <c r="W87" s="647"/>
      <c r="X87" s="647"/>
      <c r="Y87" s="647"/>
      <c r="Z87" s="647"/>
      <c r="AA87" s="647"/>
      <c r="AB87" s="647"/>
      <c r="AC87" s="647"/>
    </row>
    <row r="88" spans="1:29" s="628" customFormat="1" ht="19.5" customHeight="1">
      <c r="A88" s="647"/>
      <c r="B88" s="648"/>
      <c r="C88" s="648"/>
      <c r="D88" s="679" t="s">
        <v>1111</v>
      </c>
      <c r="E88" s="677">
        <v>54825</v>
      </c>
      <c r="F88" s="639">
        <v>0</v>
      </c>
      <c r="G88" s="639">
        <v>0</v>
      </c>
      <c r="H88" s="639">
        <f t="shared" si="31"/>
        <v>0</v>
      </c>
      <c r="I88" s="677">
        <f t="shared" si="34"/>
        <v>54825</v>
      </c>
      <c r="J88" s="677">
        <v>0</v>
      </c>
      <c r="K88" s="677">
        <f t="shared" si="32"/>
        <v>0</v>
      </c>
      <c r="L88" s="742">
        <f t="shared" si="35"/>
        <v>0</v>
      </c>
      <c r="M88" s="677">
        <f t="shared" si="33"/>
        <v>54825</v>
      </c>
      <c r="N88" s="647"/>
      <c r="O88" s="647"/>
      <c r="P88" s="647"/>
      <c r="Q88" s="647"/>
      <c r="R88" s="647"/>
      <c r="S88" s="647"/>
      <c r="T88" s="647"/>
      <c r="U88" s="647"/>
      <c r="V88" s="647"/>
      <c r="W88" s="647"/>
      <c r="X88" s="647"/>
      <c r="Y88" s="647"/>
      <c r="Z88" s="647"/>
      <c r="AA88" s="647"/>
      <c r="AB88" s="647"/>
      <c r="AC88" s="647"/>
    </row>
    <row r="89" spans="1:29" s="628" customFormat="1" ht="19.5" customHeight="1">
      <c r="A89" s="647"/>
      <c r="B89" s="648"/>
      <c r="C89" s="648"/>
      <c r="D89" s="679" t="s">
        <v>1112</v>
      </c>
      <c r="E89" s="677">
        <v>17842</v>
      </c>
      <c r="F89" s="639">
        <v>0</v>
      </c>
      <c r="G89" s="639">
        <v>0</v>
      </c>
      <c r="H89" s="639">
        <f t="shared" si="31"/>
        <v>0</v>
      </c>
      <c r="I89" s="677">
        <f t="shared" si="34"/>
        <v>17842</v>
      </c>
      <c r="J89" s="677">
        <v>0</v>
      </c>
      <c r="K89" s="677">
        <f t="shared" si="32"/>
        <v>0</v>
      </c>
      <c r="L89" s="742">
        <f t="shared" si="35"/>
        <v>0</v>
      </c>
      <c r="M89" s="677">
        <f t="shared" si="33"/>
        <v>17842</v>
      </c>
      <c r="N89" s="647"/>
      <c r="O89" s="647"/>
      <c r="P89" s="647"/>
      <c r="Q89" s="647"/>
      <c r="R89" s="647"/>
      <c r="S89" s="647"/>
      <c r="T89" s="647"/>
      <c r="U89" s="647"/>
      <c r="V89" s="647"/>
      <c r="W89" s="647"/>
      <c r="X89" s="647"/>
      <c r="Y89" s="647"/>
      <c r="Z89" s="647"/>
      <c r="AA89" s="647"/>
      <c r="AB89" s="647"/>
      <c r="AC89" s="647"/>
    </row>
    <row r="90" spans="1:29" s="628" customFormat="1" ht="19.5" customHeight="1">
      <c r="A90" s="647"/>
      <c r="B90" s="648"/>
      <c r="C90" s="648"/>
      <c r="D90" s="679" t="s">
        <v>1113</v>
      </c>
      <c r="E90" s="677">
        <v>865511</v>
      </c>
      <c r="F90" s="639">
        <v>0</v>
      </c>
      <c r="G90" s="639">
        <v>0</v>
      </c>
      <c r="H90" s="639">
        <f t="shared" si="31"/>
        <v>0</v>
      </c>
      <c r="I90" s="677">
        <f t="shared" si="34"/>
        <v>865511</v>
      </c>
      <c r="J90" s="677">
        <v>0</v>
      </c>
      <c r="K90" s="677">
        <f t="shared" si="32"/>
        <v>0</v>
      </c>
      <c r="L90" s="742">
        <f t="shared" si="35"/>
        <v>0</v>
      </c>
      <c r="M90" s="677">
        <f t="shared" si="33"/>
        <v>865511</v>
      </c>
      <c r="N90" s="647"/>
      <c r="O90" s="647"/>
      <c r="P90" s="647"/>
      <c r="Q90" s="647"/>
      <c r="R90" s="647"/>
      <c r="S90" s="647"/>
      <c r="T90" s="647"/>
      <c r="U90" s="647"/>
      <c r="V90" s="647"/>
      <c r="W90" s="647"/>
      <c r="X90" s="647"/>
      <c r="Y90" s="647"/>
      <c r="Z90" s="647"/>
      <c r="AA90" s="647"/>
      <c r="AB90" s="647"/>
      <c r="AC90" s="647"/>
    </row>
    <row r="91" spans="1:29" s="628" customFormat="1" ht="19.5" customHeight="1">
      <c r="A91" s="647"/>
      <c r="B91" s="648"/>
      <c r="C91" s="648"/>
      <c r="D91" s="679" t="s">
        <v>1114</v>
      </c>
      <c r="E91" s="677">
        <v>1368245</v>
      </c>
      <c r="F91" s="639">
        <v>0</v>
      </c>
      <c r="G91" s="639">
        <v>0</v>
      </c>
      <c r="H91" s="639">
        <f t="shared" si="31"/>
        <v>0</v>
      </c>
      <c r="I91" s="677">
        <f t="shared" si="34"/>
        <v>1368245</v>
      </c>
      <c r="J91" s="677">
        <v>0</v>
      </c>
      <c r="K91" s="677">
        <f t="shared" si="32"/>
        <v>0</v>
      </c>
      <c r="L91" s="742">
        <f t="shared" si="35"/>
        <v>0</v>
      </c>
      <c r="M91" s="677">
        <f t="shared" si="33"/>
        <v>1368245</v>
      </c>
      <c r="N91" s="647"/>
      <c r="O91" s="647"/>
      <c r="P91" s="647"/>
      <c r="Q91" s="647"/>
      <c r="R91" s="647"/>
      <c r="S91" s="647"/>
      <c r="T91" s="647"/>
      <c r="U91" s="647"/>
      <c r="V91" s="647"/>
      <c r="W91" s="647"/>
      <c r="X91" s="647"/>
      <c r="Y91" s="647"/>
      <c r="Z91" s="647"/>
      <c r="AA91" s="647"/>
      <c r="AB91" s="647"/>
      <c r="AC91" s="647"/>
    </row>
    <row r="92" spans="1:29" s="628" customFormat="1" ht="19.5" customHeight="1">
      <c r="A92" s="647"/>
      <c r="B92" s="648"/>
      <c r="C92" s="648"/>
      <c r="D92" s="679" t="s">
        <v>1115</v>
      </c>
      <c r="E92" s="677">
        <f>+E93</f>
        <v>3079089749</v>
      </c>
      <c r="F92" s="677">
        <f t="shared" ref="F92:M92" si="36">+F93</f>
        <v>0</v>
      </c>
      <c r="G92" s="677">
        <f t="shared" si="36"/>
        <v>0</v>
      </c>
      <c r="H92" s="677">
        <f t="shared" si="36"/>
        <v>0</v>
      </c>
      <c r="I92" s="677">
        <f t="shared" si="36"/>
        <v>3079089749</v>
      </c>
      <c r="J92" s="677">
        <f t="shared" si="36"/>
        <v>3750300</v>
      </c>
      <c r="K92" s="677">
        <f t="shared" si="36"/>
        <v>3750300</v>
      </c>
      <c r="L92" s="742">
        <f t="shared" si="35"/>
        <v>1.2194751383361843E-3</v>
      </c>
      <c r="M92" s="677">
        <f t="shared" si="36"/>
        <v>3075339449</v>
      </c>
      <c r="N92" s="647"/>
      <c r="O92" s="647"/>
      <c r="P92" s="647"/>
      <c r="Q92" s="647"/>
      <c r="R92" s="647"/>
      <c r="S92" s="647"/>
      <c r="T92" s="647"/>
      <c r="U92" s="647"/>
      <c r="V92" s="647"/>
      <c r="W92" s="647"/>
      <c r="X92" s="647"/>
      <c r="Y92" s="647"/>
      <c r="Z92" s="647"/>
      <c r="AA92" s="647"/>
      <c r="AB92" s="647"/>
      <c r="AC92" s="647"/>
    </row>
    <row r="93" spans="1:29" s="628" customFormat="1" ht="19.5" customHeight="1">
      <c r="A93" s="647"/>
      <c r="B93" s="648"/>
      <c r="C93" s="648"/>
      <c r="D93" s="679" t="s">
        <v>1116</v>
      </c>
      <c r="E93" s="677">
        <v>3079089749</v>
      </c>
      <c r="F93" s="639">
        <v>0</v>
      </c>
      <c r="G93" s="639">
        <v>0</v>
      </c>
      <c r="H93" s="639">
        <f t="shared" si="31"/>
        <v>0</v>
      </c>
      <c r="I93" s="677">
        <f t="shared" si="34"/>
        <v>3079089749</v>
      </c>
      <c r="J93" s="677">
        <v>3750300</v>
      </c>
      <c r="K93" s="677">
        <f t="shared" ref="K93" si="37">+J93</f>
        <v>3750300</v>
      </c>
      <c r="L93" s="742">
        <f t="shared" si="35"/>
        <v>1.2194751383361843E-3</v>
      </c>
      <c r="M93" s="677">
        <f>+I93-K93</f>
        <v>3075339449</v>
      </c>
      <c r="N93" s="647"/>
      <c r="O93" s="647"/>
      <c r="P93" s="647"/>
      <c r="Q93" s="647"/>
      <c r="R93" s="647"/>
      <c r="S93" s="647"/>
      <c r="T93" s="647"/>
      <c r="U93" s="647"/>
      <c r="V93" s="647"/>
      <c r="W93" s="647"/>
      <c r="X93" s="647"/>
      <c r="Y93" s="647"/>
      <c r="Z93" s="647"/>
      <c r="AA93" s="647"/>
      <c r="AB93" s="647"/>
      <c r="AC93" s="647"/>
    </row>
    <row r="94" spans="1:29" s="628" customFormat="1" ht="19.5" customHeight="1">
      <c r="A94" s="647"/>
      <c r="B94" s="648"/>
      <c r="C94" s="648"/>
      <c r="D94" s="679" t="s">
        <v>515</v>
      </c>
      <c r="E94" s="677">
        <f>+E95+E97</f>
        <v>1101000000</v>
      </c>
      <c r="F94" s="677">
        <f t="shared" ref="F94:M94" si="38">+F95+F97</f>
        <v>0</v>
      </c>
      <c r="G94" s="677">
        <f t="shared" si="38"/>
        <v>0</v>
      </c>
      <c r="H94" s="677">
        <f t="shared" si="38"/>
        <v>0</v>
      </c>
      <c r="I94" s="677">
        <f t="shared" si="38"/>
        <v>1101000000</v>
      </c>
      <c r="J94" s="677">
        <f t="shared" si="38"/>
        <v>359952907</v>
      </c>
      <c r="K94" s="677">
        <f t="shared" si="38"/>
        <v>359952907</v>
      </c>
      <c r="L94" s="742">
        <f t="shared" si="35"/>
        <v>0.4857355361084994</v>
      </c>
      <c r="M94" s="677">
        <f t="shared" si="38"/>
        <v>741047093</v>
      </c>
      <c r="N94" s="647"/>
      <c r="O94" s="647"/>
      <c r="P94" s="647"/>
      <c r="Q94" s="647"/>
      <c r="R94" s="647"/>
      <c r="S94" s="647"/>
      <c r="T94" s="647"/>
      <c r="U94" s="647"/>
      <c r="V94" s="647"/>
      <c r="W94" s="647"/>
      <c r="X94" s="647"/>
      <c r="Y94" s="647"/>
      <c r="Z94" s="647"/>
      <c r="AA94" s="647"/>
      <c r="AB94" s="647"/>
      <c r="AC94" s="647"/>
    </row>
    <row r="95" spans="1:29" s="628" customFormat="1" ht="19.5" customHeight="1">
      <c r="A95" s="647"/>
      <c r="B95" s="648"/>
      <c r="C95" s="648"/>
      <c r="D95" s="679" t="s">
        <v>516</v>
      </c>
      <c r="E95" s="677">
        <f>+E96</f>
        <v>200000000</v>
      </c>
      <c r="F95" s="677">
        <f t="shared" ref="F95:M95" si="39">+F96</f>
        <v>0</v>
      </c>
      <c r="G95" s="677">
        <f t="shared" si="39"/>
        <v>0</v>
      </c>
      <c r="H95" s="677">
        <f t="shared" si="39"/>
        <v>0</v>
      </c>
      <c r="I95" s="677">
        <f t="shared" si="39"/>
        <v>200000000</v>
      </c>
      <c r="J95" s="677">
        <f t="shared" si="39"/>
        <v>0</v>
      </c>
      <c r="K95" s="677">
        <f t="shared" si="39"/>
        <v>0</v>
      </c>
      <c r="L95" s="742">
        <f t="shared" si="35"/>
        <v>0</v>
      </c>
      <c r="M95" s="677">
        <f t="shared" si="39"/>
        <v>200000000</v>
      </c>
      <c r="N95" s="647"/>
      <c r="O95" s="647"/>
      <c r="P95" s="647"/>
      <c r="Q95" s="647"/>
      <c r="R95" s="647"/>
      <c r="S95" s="647"/>
      <c r="T95" s="647"/>
      <c r="U95" s="647"/>
      <c r="V95" s="647"/>
      <c r="W95" s="647"/>
      <c r="X95" s="647"/>
      <c r="Y95" s="647"/>
      <c r="Z95" s="647"/>
      <c r="AA95" s="647"/>
      <c r="AB95" s="647"/>
      <c r="AC95" s="647"/>
    </row>
    <row r="96" spans="1:29" s="628" customFormat="1" ht="19.5" customHeight="1">
      <c r="A96" s="647"/>
      <c r="B96" s="648"/>
      <c r="C96" s="648"/>
      <c r="D96" s="679" t="s">
        <v>517</v>
      </c>
      <c r="E96" s="677">
        <v>200000000</v>
      </c>
      <c r="F96" s="639">
        <v>0</v>
      </c>
      <c r="G96" s="639">
        <v>0</v>
      </c>
      <c r="H96" s="639">
        <f t="shared" si="31"/>
        <v>0</v>
      </c>
      <c r="I96" s="677">
        <f t="shared" si="34"/>
        <v>200000000</v>
      </c>
      <c r="J96" s="677">
        <v>0</v>
      </c>
      <c r="K96" s="677">
        <f t="shared" ref="K96" si="40">+J96</f>
        <v>0</v>
      </c>
      <c r="L96" s="742">
        <f t="shared" si="35"/>
        <v>0</v>
      </c>
      <c r="M96" s="677">
        <f>+I96-K96</f>
        <v>200000000</v>
      </c>
      <c r="N96" s="647"/>
      <c r="O96" s="647"/>
      <c r="P96" s="647"/>
      <c r="Q96" s="647"/>
      <c r="R96" s="647"/>
      <c r="S96" s="647"/>
      <c r="T96" s="647"/>
      <c r="U96" s="647"/>
      <c r="V96" s="647"/>
      <c r="W96" s="647"/>
      <c r="X96" s="647"/>
      <c r="Y96" s="647"/>
      <c r="Z96" s="647"/>
      <c r="AA96" s="647"/>
      <c r="AB96" s="647"/>
      <c r="AC96" s="647"/>
    </row>
    <row r="97" spans="1:29" s="628" customFormat="1" ht="19.5" customHeight="1">
      <c r="A97" s="647"/>
      <c r="B97" s="648"/>
      <c r="C97" s="648"/>
      <c r="D97" s="679" t="s">
        <v>518</v>
      </c>
      <c r="E97" s="677">
        <f>+E98</f>
        <v>901000000</v>
      </c>
      <c r="F97" s="677">
        <f t="shared" ref="F97:M97" si="41">+F98</f>
        <v>0</v>
      </c>
      <c r="G97" s="677">
        <f t="shared" si="41"/>
        <v>0</v>
      </c>
      <c r="H97" s="677">
        <f t="shared" si="41"/>
        <v>0</v>
      </c>
      <c r="I97" s="677">
        <f t="shared" si="41"/>
        <v>901000000</v>
      </c>
      <c r="J97" s="677">
        <f t="shared" si="41"/>
        <v>359952907</v>
      </c>
      <c r="K97" s="677">
        <f t="shared" si="41"/>
        <v>359952907</v>
      </c>
      <c r="L97" s="742">
        <f t="shared" si="35"/>
        <v>0.66528942056435747</v>
      </c>
      <c r="M97" s="677">
        <f t="shared" si="41"/>
        <v>541047093</v>
      </c>
      <c r="N97" s="647"/>
      <c r="O97" s="647"/>
      <c r="P97" s="647"/>
      <c r="Q97" s="647"/>
      <c r="R97" s="647"/>
      <c r="S97" s="647"/>
      <c r="T97" s="647"/>
      <c r="U97" s="647"/>
      <c r="V97" s="647"/>
      <c r="W97" s="647"/>
      <c r="X97" s="647"/>
      <c r="Y97" s="647"/>
      <c r="Z97" s="647"/>
      <c r="AA97" s="647"/>
      <c r="AB97" s="647"/>
      <c r="AC97" s="647"/>
    </row>
    <row r="98" spans="1:29" s="628" customFormat="1" ht="19.5" customHeight="1">
      <c r="A98" s="647"/>
      <c r="B98" s="648"/>
      <c r="C98" s="648"/>
      <c r="D98" s="679" t="s">
        <v>519</v>
      </c>
      <c r="E98" s="692">
        <f>SUM(E99:E101)</f>
        <v>901000000</v>
      </c>
      <c r="F98" s="692">
        <f t="shared" ref="F98:M98" si="42">SUM(F99:F101)</f>
        <v>0</v>
      </c>
      <c r="G98" s="692">
        <f t="shared" si="42"/>
        <v>0</v>
      </c>
      <c r="H98" s="692">
        <f t="shared" si="42"/>
        <v>0</v>
      </c>
      <c r="I98" s="692">
        <f t="shared" si="42"/>
        <v>901000000</v>
      </c>
      <c r="J98" s="692">
        <f t="shared" si="42"/>
        <v>359952907</v>
      </c>
      <c r="K98" s="692">
        <f t="shared" si="42"/>
        <v>359952907</v>
      </c>
      <c r="L98" s="742">
        <f t="shared" si="35"/>
        <v>0.66528942056435747</v>
      </c>
      <c r="M98" s="692">
        <f t="shared" si="42"/>
        <v>541047093</v>
      </c>
      <c r="N98" s="647"/>
      <c r="O98" s="647"/>
      <c r="P98" s="647"/>
      <c r="Q98" s="647"/>
      <c r="R98" s="647"/>
      <c r="S98" s="647"/>
      <c r="T98" s="647"/>
      <c r="U98" s="647"/>
      <c r="V98" s="647"/>
      <c r="W98" s="647"/>
      <c r="X98" s="647"/>
      <c r="Y98" s="647"/>
      <c r="Z98" s="647"/>
      <c r="AA98" s="647"/>
      <c r="AB98" s="647"/>
      <c r="AC98" s="647"/>
    </row>
    <row r="99" spans="1:29" s="628" customFormat="1" ht="19.5" customHeight="1">
      <c r="A99" s="647"/>
      <c r="B99" s="648"/>
      <c r="C99" s="648"/>
      <c r="D99" s="679" t="s">
        <v>520</v>
      </c>
      <c r="E99" s="677">
        <v>800000000</v>
      </c>
      <c r="F99" s="639">
        <v>0</v>
      </c>
      <c r="G99" s="639">
        <v>0</v>
      </c>
      <c r="H99" s="639">
        <f t="shared" si="31"/>
        <v>0</v>
      </c>
      <c r="I99" s="677">
        <f t="shared" si="34"/>
        <v>800000000</v>
      </c>
      <c r="J99" s="677">
        <v>329319766</v>
      </c>
      <c r="K99" s="677">
        <f t="shared" ref="K99:K101" si="43">+J99</f>
        <v>329319766</v>
      </c>
      <c r="L99" s="742">
        <f t="shared" si="35"/>
        <v>0.6996677196348976</v>
      </c>
      <c r="M99" s="677">
        <f t="shared" ref="M99:M101" si="44">+I99-K99</f>
        <v>470680234</v>
      </c>
      <c r="N99" s="647"/>
      <c r="O99" s="647"/>
      <c r="P99" s="647"/>
      <c r="Q99" s="647"/>
      <c r="R99" s="647"/>
      <c r="S99" s="647"/>
      <c r="T99" s="647"/>
      <c r="U99" s="647"/>
      <c r="V99" s="647"/>
      <c r="W99" s="647"/>
      <c r="X99" s="647"/>
      <c r="Y99" s="647"/>
      <c r="Z99" s="647"/>
      <c r="AA99" s="647"/>
      <c r="AB99" s="647"/>
      <c r="AC99" s="647"/>
    </row>
    <row r="100" spans="1:29" s="628" customFormat="1" ht="19.5" customHeight="1">
      <c r="A100" s="647"/>
      <c r="B100" s="648"/>
      <c r="C100" s="648"/>
      <c r="D100" s="679" t="s">
        <v>521</v>
      </c>
      <c r="E100" s="677">
        <v>50000000</v>
      </c>
      <c r="F100" s="639">
        <v>0</v>
      </c>
      <c r="G100" s="639">
        <v>0</v>
      </c>
      <c r="H100" s="639">
        <f t="shared" si="31"/>
        <v>0</v>
      </c>
      <c r="I100" s="677">
        <f t="shared" si="34"/>
        <v>50000000</v>
      </c>
      <c r="J100" s="677">
        <v>27023210</v>
      </c>
      <c r="K100" s="677">
        <f t="shared" si="43"/>
        <v>27023210</v>
      </c>
      <c r="L100" s="742">
        <f t="shared" si="35"/>
        <v>1.176109021321081</v>
      </c>
      <c r="M100" s="677">
        <f t="shared" si="44"/>
        <v>22976790</v>
      </c>
      <c r="N100" s="647"/>
      <c r="O100" s="647"/>
      <c r="P100" s="647"/>
      <c r="Q100" s="647"/>
      <c r="R100" s="647"/>
      <c r="S100" s="647"/>
      <c r="T100" s="647"/>
      <c r="U100" s="647"/>
      <c r="V100" s="647"/>
      <c r="W100" s="647"/>
      <c r="X100" s="647"/>
      <c r="Y100" s="647"/>
      <c r="Z100" s="647"/>
      <c r="AA100" s="647"/>
      <c r="AB100" s="647"/>
      <c r="AC100" s="647"/>
    </row>
    <row r="101" spans="1:29" s="628" customFormat="1" ht="19.5" customHeight="1">
      <c r="A101" s="647"/>
      <c r="B101" s="648"/>
      <c r="C101" s="648"/>
      <c r="D101" s="679" t="s">
        <v>522</v>
      </c>
      <c r="E101" s="677">
        <v>51000000</v>
      </c>
      <c r="F101" s="639">
        <v>0</v>
      </c>
      <c r="G101" s="639">
        <v>0</v>
      </c>
      <c r="H101" s="639">
        <f t="shared" si="31"/>
        <v>0</v>
      </c>
      <c r="I101" s="677">
        <f t="shared" si="34"/>
        <v>51000000</v>
      </c>
      <c r="J101" s="677">
        <v>3609931</v>
      </c>
      <c r="K101" s="677">
        <f t="shared" si="43"/>
        <v>3609931</v>
      </c>
      <c r="L101" s="742">
        <f t="shared" si="35"/>
        <v>7.6174841610802471E-2</v>
      </c>
      <c r="M101" s="677">
        <f t="shared" si="44"/>
        <v>47390069</v>
      </c>
      <c r="N101" s="647"/>
      <c r="O101" s="647"/>
      <c r="P101" s="647"/>
      <c r="Q101" s="647"/>
      <c r="R101" s="647"/>
      <c r="S101" s="647"/>
      <c r="T101" s="647"/>
      <c r="U101" s="647"/>
      <c r="V101" s="647"/>
      <c r="W101" s="647"/>
      <c r="X101" s="647"/>
      <c r="Y101" s="647"/>
      <c r="Z101" s="647"/>
      <c r="AA101" s="647"/>
      <c r="AB101" s="647"/>
      <c r="AC101" s="647"/>
    </row>
    <row r="102" spans="1:29" ht="15" customHeight="1">
      <c r="D102" s="345"/>
      <c r="E102" s="650"/>
      <c r="F102" s="345"/>
      <c r="G102" s="345"/>
      <c r="H102" s="345"/>
      <c r="I102" s="345"/>
      <c r="J102" s="345"/>
      <c r="K102" s="345"/>
      <c r="L102" s="345"/>
      <c r="M102" s="345"/>
    </row>
  </sheetData>
  <mergeCells count="7">
    <mergeCell ref="D12:M12"/>
    <mergeCell ref="A1:B6"/>
    <mergeCell ref="C1:Z3"/>
    <mergeCell ref="AA1:AB2"/>
    <mergeCell ref="AA3:AB4"/>
    <mergeCell ref="C4:Z6"/>
    <mergeCell ref="AA5:AB6"/>
  </mergeCells>
  <pageMargins left="0.7" right="0.7" top="0.75" bottom="0.75" header="0.3" footer="0.3"/>
  <pageSetup orientation="portrait" r:id="rId1"/>
  <headerFooter>
    <oddFooter>&amp;C&amp;"Helvetica Neue,Regular"&amp;12&amp;K000000&amp;P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50"/>
  <sheetViews>
    <sheetView showGridLines="0" tabSelected="1" zoomScale="61" zoomScaleNormal="60" workbookViewId="0">
      <selection activeCell="I13" sqref="I13"/>
    </sheetView>
  </sheetViews>
  <sheetFormatPr baseColWidth="10" defaultColWidth="10.81640625" defaultRowHeight="18" customHeight="1"/>
  <cols>
    <col min="1" max="1" width="79.08984375" style="667" customWidth="1"/>
    <col min="2" max="2" width="22.6328125" style="667" bestFit="1" customWidth="1"/>
    <col min="3" max="3" width="14.81640625" style="667" customWidth="1"/>
    <col min="4" max="4" width="15.26953125" style="667" customWidth="1"/>
    <col min="5" max="5" width="26.1796875" style="667" customWidth="1"/>
    <col min="6" max="6" width="16.26953125" style="667" customWidth="1"/>
    <col min="7" max="7" width="15.453125" style="667" customWidth="1"/>
    <col min="8" max="8" width="29.6328125" style="667" customWidth="1"/>
    <col min="9" max="9" width="25.36328125" style="667" customWidth="1"/>
    <col min="10" max="10" width="13.36328125" style="667" customWidth="1"/>
    <col min="11" max="11" width="22.6328125" style="667" bestFit="1" customWidth="1"/>
    <col min="12" max="12" width="17.54296875" style="667" customWidth="1"/>
    <col min="13" max="13" width="17.36328125" style="667" customWidth="1"/>
    <col min="14" max="16384" width="10.81640625" style="667"/>
  </cols>
  <sheetData>
    <row r="1" spans="1:13" ht="18" customHeight="1">
      <c r="A1" s="640" t="s">
        <v>1290</v>
      </c>
      <c r="B1" s="641"/>
      <c r="C1" s="641"/>
      <c r="D1" s="641"/>
      <c r="E1" s="641"/>
      <c r="F1" s="641"/>
      <c r="G1" s="641"/>
      <c r="H1" s="641"/>
      <c r="I1" s="641"/>
      <c r="J1" s="641"/>
      <c r="K1" s="641"/>
      <c r="L1" s="641"/>
      <c r="M1" s="642"/>
    </row>
    <row r="2" spans="1:13" ht="18" customHeight="1">
      <c r="A2" s="643"/>
      <c r="B2" s="644"/>
      <c r="C2" s="644"/>
      <c r="D2" s="644"/>
      <c r="E2" s="644"/>
      <c r="F2" s="644"/>
      <c r="G2" s="644"/>
      <c r="H2" s="644"/>
      <c r="I2" s="644"/>
      <c r="J2" s="644"/>
      <c r="K2" s="644"/>
      <c r="L2" s="644"/>
      <c r="M2" s="645"/>
    </row>
    <row r="3" spans="1:13" s="668" customFormat="1" ht="60.75" customHeight="1">
      <c r="A3" s="637" t="s">
        <v>551</v>
      </c>
      <c r="B3" s="637" t="s">
        <v>552</v>
      </c>
      <c r="C3" s="637" t="s">
        <v>553</v>
      </c>
      <c r="D3" s="637" t="s">
        <v>554</v>
      </c>
      <c r="E3" s="637" t="s">
        <v>555</v>
      </c>
      <c r="F3" s="637" t="s">
        <v>556</v>
      </c>
      <c r="G3" s="637" t="s">
        <v>557</v>
      </c>
      <c r="H3" s="637" t="s">
        <v>558</v>
      </c>
      <c r="I3" s="637" t="s">
        <v>559</v>
      </c>
      <c r="J3" s="637" t="s">
        <v>560</v>
      </c>
      <c r="K3" s="637" t="s">
        <v>561</v>
      </c>
      <c r="L3" s="637" t="s">
        <v>562</v>
      </c>
      <c r="M3" s="637" t="s">
        <v>563</v>
      </c>
    </row>
    <row r="4" spans="1:13" s="668" customFormat="1" ht="60.75" customHeight="1">
      <c r="A4" s="669" t="s">
        <v>1144</v>
      </c>
      <c r="B4" s="670">
        <f>+B5+B138</f>
        <v>60687426462</v>
      </c>
      <c r="C4" s="670">
        <f t="shared" ref="C4:I4" si="0">+C5+C138</f>
        <v>0</v>
      </c>
      <c r="D4" s="670">
        <f t="shared" si="0"/>
        <v>0</v>
      </c>
      <c r="E4" s="670">
        <f t="shared" si="0"/>
        <v>59787426462</v>
      </c>
      <c r="F4" s="670">
        <f t="shared" si="0"/>
        <v>0</v>
      </c>
      <c r="G4" s="670">
        <f t="shared" si="0"/>
        <v>0</v>
      </c>
      <c r="H4" s="670">
        <f t="shared" si="0"/>
        <v>17052619624.84</v>
      </c>
      <c r="I4" s="670">
        <f t="shared" si="0"/>
        <v>16609642624.84</v>
      </c>
      <c r="J4" s="630"/>
      <c r="K4" s="670">
        <f t="shared" ref="K4:M4" si="1">+K5+K138</f>
        <v>43177783837.160004</v>
      </c>
      <c r="L4" s="670">
        <f t="shared" si="1"/>
        <v>0</v>
      </c>
      <c r="M4" s="670">
        <f t="shared" si="1"/>
        <v>0</v>
      </c>
    </row>
    <row r="5" spans="1:13" s="668" customFormat="1" ht="19.5" customHeight="1">
      <c r="A5" s="669" t="s">
        <v>564</v>
      </c>
      <c r="B5" s="670">
        <f>+B6+B77+B127</f>
        <v>54562362456.220001</v>
      </c>
      <c r="C5" s="670">
        <f t="shared" ref="C5:I5" si="2">+C6+C77+C127</f>
        <v>0</v>
      </c>
      <c r="D5" s="670">
        <f t="shared" si="2"/>
        <v>0</v>
      </c>
      <c r="E5" s="670">
        <f t="shared" si="2"/>
        <v>53662362456.220001</v>
      </c>
      <c r="F5" s="670">
        <f t="shared" si="2"/>
        <v>0</v>
      </c>
      <c r="G5" s="670">
        <f t="shared" si="2"/>
        <v>0</v>
      </c>
      <c r="H5" s="670">
        <f t="shared" si="2"/>
        <v>15630180630.84</v>
      </c>
      <c r="I5" s="670">
        <f t="shared" si="2"/>
        <v>15187203630.84</v>
      </c>
      <c r="J5" s="670"/>
      <c r="K5" s="670">
        <f t="shared" ref="K5" si="3">+K6+K77+K127</f>
        <v>38475158825.380005</v>
      </c>
      <c r="L5" s="670">
        <f t="shared" ref="L5" si="4">+L6+L77+L127</f>
        <v>0</v>
      </c>
      <c r="M5" s="670">
        <f t="shared" ref="M5" si="5">+M6+M77+M127</f>
        <v>0</v>
      </c>
    </row>
    <row r="6" spans="1:13" s="668" customFormat="1" ht="19.5" customHeight="1">
      <c r="A6" s="669" t="s">
        <v>565</v>
      </c>
      <c r="B6" s="670">
        <f>+B7+B70</f>
        <v>2831888456.2200003</v>
      </c>
      <c r="C6" s="670">
        <f t="shared" ref="C6:I6" si="6">+C7+C70</f>
        <v>0</v>
      </c>
      <c r="D6" s="670">
        <f t="shared" si="6"/>
        <v>0</v>
      </c>
      <c r="E6" s="670">
        <f t="shared" si="6"/>
        <v>2831888456.2200003</v>
      </c>
      <c r="F6" s="670">
        <f t="shared" si="6"/>
        <v>0</v>
      </c>
      <c r="G6" s="670">
        <f t="shared" si="6"/>
        <v>0</v>
      </c>
      <c r="H6" s="670">
        <f t="shared" si="6"/>
        <v>513597159.07999998</v>
      </c>
      <c r="I6" s="670">
        <f t="shared" si="6"/>
        <v>513597159.07999998</v>
      </c>
      <c r="J6" s="670"/>
      <c r="K6" s="670">
        <f t="shared" ref="K6" si="7">+K7+K70</f>
        <v>2318291297.1400003</v>
      </c>
      <c r="L6" s="670">
        <f t="shared" ref="L6" si="8">+L7+L70</f>
        <v>0</v>
      </c>
      <c r="M6" s="670">
        <f t="shared" ref="M6" si="9">+M7+M70</f>
        <v>0</v>
      </c>
    </row>
    <row r="7" spans="1:13" s="668" customFormat="1" ht="36" customHeight="1">
      <c r="A7" s="669" t="s">
        <v>566</v>
      </c>
      <c r="B7" s="670">
        <f>+B8+B36+B55</f>
        <v>2744033724.8800001</v>
      </c>
      <c r="C7" s="670">
        <f t="shared" ref="C7:I7" si="10">+C8+C36+C55</f>
        <v>0</v>
      </c>
      <c r="D7" s="670">
        <f t="shared" si="10"/>
        <v>0</v>
      </c>
      <c r="E7" s="670">
        <f t="shared" si="10"/>
        <v>2744033724.8800001</v>
      </c>
      <c r="F7" s="670">
        <f t="shared" si="10"/>
        <v>0</v>
      </c>
      <c r="G7" s="670">
        <f t="shared" si="10"/>
        <v>0</v>
      </c>
      <c r="H7" s="670">
        <f t="shared" si="10"/>
        <v>497108737.07999998</v>
      </c>
      <c r="I7" s="670">
        <f t="shared" si="10"/>
        <v>497108737.07999998</v>
      </c>
      <c r="J7" s="670"/>
      <c r="K7" s="670">
        <f t="shared" ref="K7" si="11">+K8+K36+K55</f>
        <v>2246924987.8000002</v>
      </c>
      <c r="L7" s="670">
        <f t="shared" ref="L7" si="12">+L8+L36+L55</f>
        <v>0</v>
      </c>
      <c r="M7" s="670">
        <f t="shared" ref="M7" si="13">+M8+M36+M55</f>
        <v>0</v>
      </c>
    </row>
    <row r="8" spans="1:13" s="668" customFormat="1" ht="36" customHeight="1">
      <c r="A8" s="669" t="s">
        <v>567</v>
      </c>
      <c r="B8" s="670">
        <f>+B9</f>
        <v>2011694473.8399999</v>
      </c>
      <c r="C8" s="670">
        <f t="shared" ref="C8:I8" si="14">+C9</f>
        <v>0</v>
      </c>
      <c r="D8" s="670">
        <f t="shared" si="14"/>
        <v>0</v>
      </c>
      <c r="E8" s="670">
        <f t="shared" si="14"/>
        <v>2011694473.8399999</v>
      </c>
      <c r="F8" s="670">
        <f t="shared" si="14"/>
        <v>0</v>
      </c>
      <c r="G8" s="670">
        <f t="shared" si="14"/>
        <v>0</v>
      </c>
      <c r="H8" s="670">
        <f t="shared" si="14"/>
        <v>402299386</v>
      </c>
      <c r="I8" s="670">
        <f t="shared" si="14"/>
        <v>402299386</v>
      </c>
      <c r="J8" s="670"/>
      <c r="K8" s="670">
        <f t="shared" ref="K8" si="15">+K9</f>
        <v>1609395087.8399999</v>
      </c>
      <c r="L8" s="670">
        <f t="shared" ref="L8" si="16">+L9</f>
        <v>0</v>
      </c>
      <c r="M8" s="670">
        <f t="shared" ref="M8" si="17">+M9</f>
        <v>0</v>
      </c>
    </row>
    <row r="9" spans="1:13" s="668" customFormat="1" ht="36" customHeight="1">
      <c r="A9" s="669" t="s">
        <v>568</v>
      </c>
      <c r="B9" s="670">
        <f>+B10+B14+B17+B19+B23+B27</f>
        <v>2011694473.8399999</v>
      </c>
      <c r="C9" s="670">
        <f t="shared" ref="C9:I9" si="18">+C10+C14+C17+C19+C23+C27</f>
        <v>0</v>
      </c>
      <c r="D9" s="670">
        <f t="shared" si="18"/>
        <v>0</v>
      </c>
      <c r="E9" s="670">
        <f t="shared" si="18"/>
        <v>2011694473.8399999</v>
      </c>
      <c r="F9" s="670">
        <f t="shared" si="18"/>
        <v>0</v>
      </c>
      <c r="G9" s="670">
        <f t="shared" si="18"/>
        <v>0</v>
      </c>
      <c r="H9" s="670">
        <f t="shared" si="18"/>
        <v>402299386</v>
      </c>
      <c r="I9" s="670">
        <f t="shared" si="18"/>
        <v>402299386</v>
      </c>
      <c r="J9" s="670"/>
      <c r="K9" s="670">
        <f t="shared" ref="K9" si="19">+K10+K14+K17+K19+K23+K27</f>
        <v>1609395087.8399999</v>
      </c>
      <c r="L9" s="670">
        <f t="shared" ref="L9" si="20">+L10+L14+L17+L19+L23+L27</f>
        <v>0</v>
      </c>
      <c r="M9" s="670">
        <f t="shared" ref="M9" si="21">+M10+M14+M17+M19+M23+M27</f>
        <v>0</v>
      </c>
    </row>
    <row r="10" spans="1:13" s="668" customFormat="1" ht="19.5" customHeight="1">
      <c r="A10" s="669" t="s">
        <v>569</v>
      </c>
      <c r="B10" s="670">
        <f>SUM(B11:B13)</f>
        <v>1534999680</v>
      </c>
      <c r="C10" s="670">
        <f t="shared" ref="C10:I10" si="22">SUM(C11:C13)</f>
        <v>0</v>
      </c>
      <c r="D10" s="670">
        <f t="shared" si="22"/>
        <v>0</v>
      </c>
      <c r="E10" s="670">
        <f t="shared" si="22"/>
        <v>1534999680</v>
      </c>
      <c r="F10" s="670">
        <f t="shared" si="22"/>
        <v>0</v>
      </c>
      <c r="G10" s="670">
        <f t="shared" si="22"/>
        <v>0</v>
      </c>
      <c r="H10" s="670">
        <f t="shared" si="22"/>
        <v>346519757</v>
      </c>
      <c r="I10" s="670">
        <f t="shared" si="22"/>
        <v>346519757</v>
      </c>
      <c r="J10" s="670"/>
      <c r="K10" s="670">
        <f t="shared" ref="K10" si="23">SUM(K11:K13)</f>
        <v>1188479923</v>
      </c>
      <c r="L10" s="670">
        <f t="shared" ref="L10" si="24">SUM(L11:L13)</f>
        <v>0</v>
      </c>
      <c r="M10" s="670">
        <f t="shared" ref="M10" si="25">SUM(M11:M13)</f>
        <v>0</v>
      </c>
    </row>
    <row r="11" spans="1:13" s="668" customFormat="1" ht="41" customHeight="1">
      <c r="A11" s="669" t="s">
        <v>570</v>
      </c>
      <c r="B11" s="671">
        <v>1333068000</v>
      </c>
      <c r="C11" s="670">
        <v>0</v>
      </c>
      <c r="D11" s="670">
        <f>+C11</f>
        <v>0</v>
      </c>
      <c r="E11" s="670">
        <f>+B11+D11</f>
        <v>1333068000</v>
      </c>
      <c r="F11" s="670"/>
      <c r="G11" s="670">
        <f>+F11</f>
        <v>0</v>
      </c>
      <c r="H11" s="670">
        <v>309033924</v>
      </c>
      <c r="I11" s="670">
        <f>+H11</f>
        <v>309033924</v>
      </c>
      <c r="J11" s="670"/>
      <c r="K11" s="670">
        <f>+E11-I11</f>
        <v>1024034076</v>
      </c>
      <c r="L11" s="670"/>
      <c r="M11" s="670"/>
    </row>
    <row r="12" spans="1:13" s="668" customFormat="1" ht="36" customHeight="1">
      <c r="A12" s="669" t="s">
        <v>571</v>
      </c>
      <c r="B12" s="671">
        <v>182964000</v>
      </c>
      <c r="C12" s="670">
        <v>0</v>
      </c>
      <c r="D12" s="670">
        <v>0</v>
      </c>
      <c r="E12" s="670">
        <f t="shared" ref="E12:E13" si="26">+B12+D12</f>
        <v>182964000</v>
      </c>
      <c r="F12" s="670"/>
      <c r="G12" s="670"/>
      <c r="H12" s="670">
        <v>37485833</v>
      </c>
      <c r="I12" s="670">
        <f t="shared" ref="I12:I26" si="27">+H12</f>
        <v>37485833</v>
      </c>
      <c r="J12" s="670"/>
      <c r="K12" s="670">
        <f t="shared" ref="K12:K13" si="28">+E12-I12</f>
        <v>145478167</v>
      </c>
      <c r="L12" s="670"/>
      <c r="M12" s="670"/>
    </row>
    <row r="13" spans="1:13" s="668" customFormat="1" ht="36" customHeight="1">
      <c r="A13" s="669" t="s">
        <v>572</v>
      </c>
      <c r="B13" s="671">
        <v>18967680</v>
      </c>
      <c r="C13" s="670">
        <v>0</v>
      </c>
      <c r="D13" s="670">
        <v>0</v>
      </c>
      <c r="E13" s="670">
        <f t="shared" si="26"/>
        <v>18967680</v>
      </c>
      <c r="F13" s="670"/>
      <c r="G13" s="670"/>
      <c r="H13" s="670">
        <v>0</v>
      </c>
      <c r="I13" s="670">
        <f t="shared" si="27"/>
        <v>0</v>
      </c>
      <c r="J13" s="670"/>
      <c r="K13" s="670">
        <f t="shared" si="28"/>
        <v>18967680</v>
      </c>
      <c r="L13" s="670"/>
      <c r="M13" s="670"/>
    </row>
    <row r="14" spans="1:13" s="668" customFormat="1" ht="36" customHeight="1">
      <c r="A14" s="669" t="s">
        <v>573</v>
      </c>
      <c r="B14" s="670">
        <f>SUM(B15:B16)</f>
        <v>102000000</v>
      </c>
      <c r="C14" s="670">
        <f t="shared" ref="C14:I14" si="29">SUM(C15:C16)</f>
        <v>0</v>
      </c>
      <c r="D14" s="670">
        <f t="shared" si="29"/>
        <v>0</v>
      </c>
      <c r="E14" s="670">
        <f t="shared" si="29"/>
        <v>102000000</v>
      </c>
      <c r="F14" s="670">
        <f t="shared" si="29"/>
        <v>0</v>
      </c>
      <c r="G14" s="670">
        <f t="shared" si="29"/>
        <v>0</v>
      </c>
      <c r="H14" s="670">
        <f t="shared" si="29"/>
        <v>30030033</v>
      </c>
      <c r="I14" s="670">
        <f t="shared" si="29"/>
        <v>30030033</v>
      </c>
      <c r="J14" s="670"/>
      <c r="K14" s="670">
        <f t="shared" ref="K14:M14" si="30">SUM(K15:K16)</f>
        <v>71969967</v>
      </c>
      <c r="L14" s="670">
        <f t="shared" si="30"/>
        <v>0</v>
      </c>
      <c r="M14" s="670">
        <f t="shared" si="30"/>
        <v>0</v>
      </c>
    </row>
    <row r="15" spans="1:13" s="668" customFormat="1" ht="36" customHeight="1">
      <c r="A15" s="669" t="s">
        <v>574</v>
      </c>
      <c r="B15" s="671">
        <v>66000000</v>
      </c>
      <c r="C15" s="670">
        <v>0</v>
      </c>
      <c r="D15" s="670">
        <v>0</v>
      </c>
      <c r="E15" s="670">
        <f t="shared" ref="E15:E16" si="31">+B15+D15</f>
        <v>66000000</v>
      </c>
      <c r="F15" s="670"/>
      <c r="G15" s="670"/>
      <c r="H15" s="671">
        <v>15022700</v>
      </c>
      <c r="I15" s="670">
        <f t="shared" si="27"/>
        <v>15022700</v>
      </c>
      <c r="J15" s="670"/>
      <c r="K15" s="670">
        <f t="shared" ref="K15:K16" si="32">+E15-I15</f>
        <v>50977300</v>
      </c>
      <c r="L15" s="670"/>
      <c r="M15" s="670"/>
    </row>
    <row r="16" spans="1:13" s="668" customFormat="1" ht="36" customHeight="1">
      <c r="A16" s="669" t="s">
        <v>575</v>
      </c>
      <c r="B16" s="671">
        <v>36000000</v>
      </c>
      <c r="C16" s="670">
        <v>0</v>
      </c>
      <c r="D16" s="670">
        <v>0</v>
      </c>
      <c r="E16" s="670">
        <f t="shared" si="31"/>
        <v>36000000</v>
      </c>
      <c r="F16" s="670"/>
      <c r="G16" s="670"/>
      <c r="H16" s="671">
        <v>15007333</v>
      </c>
      <c r="I16" s="670">
        <f t="shared" si="27"/>
        <v>15007333</v>
      </c>
      <c r="J16" s="670"/>
      <c r="K16" s="670">
        <f t="shared" si="32"/>
        <v>20992667</v>
      </c>
      <c r="L16" s="670"/>
      <c r="M16" s="670"/>
    </row>
    <row r="17" spans="1:13" s="668" customFormat="1" ht="36" customHeight="1">
      <c r="A17" s="669" t="s">
        <v>576</v>
      </c>
      <c r="B17" s="670">
        <f>+B18</f>
        <v>12000000</v>
      </c>
      <c r="C17" s="670">
        <f t="shared" ref="C17:I17" si="33">+C18</f>
        <v>0</v>
      </c>
      <c r="D17" s="670">
        <f t="shared" si="33"/>
        <v>0</v>
      </c>
      <c r="E17" s="670">
        <f t="shared" si="33"/>
        <v>12000000</v>
      </c>
      <c r="F17" s="670">
        <f t="shared" si="33"/>
        <v>0</v>
      </c>
      <c r="G17" s="670">
        <f t="shared" si="33"/>
        <v>0</v>
      </c>
      <c r="H17" s="670">
        <f t="shared" si="33"/>
        <v>3000000</v>
      </c>
      <c r="I17" s="670">
        <f t="shared" si="33"/>
        <v>3000000</v>
      </c>
      <c r="J17" s="670"/>
      <c r="K17" s="670">
        <f t="shared" ref="K17:M17" si="34">+K18</f>
        <v>9000000</v>
      </c>
      <c r="L17" s="670">
        <f t="shared" si="34"/>
        <v>0</v>
      </c>
      <c r="M17" s="670">
        <f t="shared" si="34"/>
        <v>0</v>
      </c>
    </row>
    <row r="18" spans="1:13" s="668" customFormat="1" ht="36" customHeight="1">
      <c r="A18" s="669" t="s">
        <v>577</v>
      </c>
      <c r="B18" s="671">
        <v>12000000</v>
      </c>
      <c r="C18" s="670">
        <v>0</v>
      </c>
      <c r="D18" s="670">
        <v>0</v>
      </c>
      <c r="E18" s="670">
        <f t="shared" ref="E18" si="35">+B18+D18</f>
        <v>12000000</v>
      </c>
      <c r="F18" s="670"/>
      <c r="G18" s="670"/>
      <c r="H18" s="671">
        <v>3000000</v>
      </c>
      <c r="I18" s="670">
        <f t="shared" si="27"/>
        <v>3000000</v>
      </c>
      <c r="J18" s="670"/>
      <c r="K18" s="670">
        <f t="shared" ref="K18" si="36">+E18-I18</f>
        <v>9000000</v>
      </c>
      <c r="L18" s="670"/>
      <c r="M18" s="670"/>
    </row>
    <row r="19" spans="1:13" s="668" customFormat="1" ht="19.5" customHeight="1">
      <c r="A19" s="669" t="s">
        <v>578</v>
      </c>
      <c r="B19" s="670">
        <f>SUM(B20:B22)</f>
        <v>89760000</v>
      </c>
      <c r="C19" s="670">
        <f t="shared" ref="C19:I19" si="37">SUM(C20:C22)</f>
        <v>0</v>
      </c>
      <c r="D19" s="670">
        <f t="shared" si="37"/>
        <v>0</v>
      </c>
      <c r="E19" s="670">
        <f t="shared" si="37"/>
        <v>89760000</v>
      </c>
      <c r="F19" s="670">
        <f t="shared" si="37"/>
        <v>0</v>
      </c>
      <c r="G19" s="670">
        <f t="shared" si="37"/>
        <v>0</v>
      </c>
      <c r="H19" s="670">
        <f t="shared" si="37"/>
        <v>17114600</v>
      </c>
      <c r="I19" s="670">
        <f t="shared" si="37"/>
        <v>17114600</v>
      </c>
      <c r="J19" s="670"/>
      <c r="K19" s="670">
        <f t="shared" ref="K19:M19" si="38">SUM(K20:K22)</f>
        <v>72645400</v>
      </c>
      <c r="L19" s="670">
        <f t="shared" si="38"/>
        <v>0</v>
      </c>
      <c r="M19" s="670">
        <f t="shared" si="38"/>
        <v>0</v>
      </c>
    </row>
    <row r="20" spans="1:13" s="668" customFormat="1" ht="36" customHeight="1">
      <c r="A20" s="669" t="s">
        <v>579</v>
      </c>
      <c r="B20" s="671">
        <v>79200000</v>
      </c>
      <c r="C20" s="670">
        <v>0</v>
      </c>
      <c r="D20" s="670">
        <v>0</v>
      </c>
      <c r="E20" s="670">
        <f t="shared" ref="E20:E22" si="39">+B20+D20</f>
        <v>79200000</v>
      </c>
      <c r="F20" s="670"/>
      <c r="G20" s="670"/>
      <c r="H20" s="671">
        <v>15023000</v>
      </c>
      <c r="I20" s="670">
        <f t="shared" si="27"/>
        <v>15023000</v>
      </c>
      <c r="J20" s="670"/>
      <c r="K20" s="670">
        <f t="shared" ref="K20:K22" si="40">+E20-I20</f>
        <v>64177000</v>
      </c>
      <c r="L20" s="670"/>
      <c r="M20" s="670"/>
    </row>
    <row r="21" spans="1:13" s="668" customFormat="1" ht="36" customHeight="1">
      <c r="A21" s="669" t="s">
        <v>580</v>
      </c>
      <c r="B21" s="671">
        <v>7920000</v>
      </c>
      <c r="C21" s="670">
        <v>0</v>
      </c>
      <c r="D21" s="670">
        <v>0</v>
      </c>
      <c r="E21" s="670">
        <f t="shared" si="39"/>
        <v>7920000</v>
      </c>
      <c r="F21" s="670"/>
      <c r="G21" s="670"/>
      <c r="H21" s="671">
        <v>2091600</v>
      </c>
      <c r="I21" s="670">
        <f t="shared" si="27"/>
        <v>2091600</v>
      </c>
      <c r="J21" s="670"/>
      <c r="K21" s="670">
        <f t="shared" si="40"/>
        <v>5828400</v>
      </c>
      <c r="L21" s="670"/>
      <c r="M21" s="670"/>
    </row>
    <row r="22" spans="1:13" s="668" customFormat="1" ht="36" customHeight="1">
      <c r="A22" s="669" t="s">
        <v>581</v>
      </c>
      <c r="B22" s="671">
        <v>2640000</v>
      </c>
      <c r="C22" s="670">
        <v>0</v>
      </c>
      <c r="D22" s="670">
        <v>0</v>
      </c>
      <c r="E22" s="670">
        <f t="shared" si="39"/>
        <v>2640000</v>
      </c>
      <c r="F22" s="670"/>
      <c r="G22" s="670"/>
      <c r="H22" s="671">
        <v>0</v>
      </c>
      <c r="I22" s="670">
        <f t="shared" si="27"/>
        <v>0</v>
      </c>
      <c r="J22" s="670"/>
      <c r="K22" s="670">
        <f t="shared" si="40"/>
        <v>2640000</v>
      </c>
      <c r="L22" s="670"/>
      <c r="M22" s="670"/>
    </row>
    <row r="23" spans="1:13" s="668" customFormat="1" ht="19.5" customHeight="1">
      <c r="A23" s="669" t="s">
        <v>582</v>
      </c>
      <c r="B23" s="670">
        <f>SUM(B24:B26)</f>
        <v>126803560</v>
      </c>
      <c r="C23" s="670">
        <f t="shared" ref="C23:I23" si="41">SUM(C24:C26)</f>
        <v>0</v>
      </c>
      <c r="D23" s="670">
        <f t="shared" si="41"/>
        <v>0</v>
      </c>
      <c r="E23" s="670">
        <f t="shared" si="41"/>
        <v>126803560</v>
      </c>
      <c r="F23" s="670">
        <f t="shared" si="41"/>
        <v>0</v>
      </c>
      <c r="G23" s="670">
        <f t="shared" si="41"/>
        <v>0</v>
      </c>
      <c r="H23" s="670">
        <f t="shared" si="41"/>
        <v>666900</v>
      </c>
      <c r="I23" s="670">
        <f t="shared" si="41"/>
        <v>666900</v>
      </c>
      <c r="J23" s="670"/>
      <c r="K23" s="670">
        <f t="shared" ref="K23:M23" si="42">SUM(K24:K26)</f>
        <v>126136660</v>
      </c>
      <c r="L23" s="670">
        <f t="shared" si="42"/>
        <v>0</v>
      </c>
      <c r="M23" s="670">
        <f t="shared" si="42"/>
        <v>0</v>
      </c>
    </row>
    <row r="24" spans="1:13" s="668" customFormat="1" ht="36" customHeight="1">
      <c r="A24" s="669" t="s">
        <v>583</v>
      </c>
      <c r="B24" s="671">
        <v>109659360</v>
      </c>
      <c r="C24" s="670">
        <v>0</v>
      </c>
      <c r="D24" s="670">
        <v>0</v>
      </c>
      <c r="E24" s="670">
        <f t="shared" ref="E24:E26" si="43">+B24+D24</f>
        <v>109659360</v>
      </c>
      <c r="F24" s="670"/>
      <c r="G24" s="670"/>
      <c r="H24" s="671">
        <v>666900</v>
      </c>
      <c r="I24" s="670">
        <f t="shared" si="27"/>
        <v>666900</v>
      </c>
      <c r="J24" s="670"/>
      <c r="K24" s="670">
        <f t="shared" ref="K24:K26" si="44">+E24-I24</f>
        <v>108992460</v>
      </c>
      <c r="L24" s="670"/>
      <c r="M24" s="670"/>
    </row>
    <row r="25" spans="1:13" s="668" customFormat="1" ht="36" customHeight="1">
      <c r="A25" s="669" t="s">
        <v>584</v>
      </c>
      <c r="B25" s="671">
        <v>15247000</v>
      </c>
      <c r="C25" s="670">
        <v>0</v>
      </c>
      <c r="D25" s="670">
        <v>0</v>
      </c>
      <c r="E25" s="670">
        <f t="shared" si="43"/>
        <v>15247000</v>
      </c>
      <c r="F25" s="670"/>
      <c r="G25" s="670"/>
      <c r="H25" s="670">
        <v>0</v>
      </c>
      <c r="I25" s="670">
        <f t="shared" si="27"/>
        <v>0</v>
      </c>
      <c r="J25" s="670"/>
      <c r="K25" s="670">
        <f t="shared" si="44"/>
        <v>15247000</v>
      </c>
      <c r="L25" s="670"/>
      <c r="M25" s="670"/>
    </row>
    <row r="26" spans="1:13" s="668" customFormat="1" ht="36" customHeight="1">
      <c r="A26" s="669" t="s">
        <v>585</v>
      </c>
      <c r="B26" s="671">
        <v>1897200</v>
      </c>
      <c r="C26" s="670">
        <v>0</v>
      </c>
      <c r="D26" s="670">
        <v>0</v>
      </c>
      <c r="E26" s="670">
        <f t="shared" si="43"/>
        <v>1897200</v>
      </c>
      <c r="F26" s="670"/>
      <c r="G26" s="670"/>
      <c r="H26" s="670">
        <v>0</v>
      </c>
      <c r="I26" s="670">
        <f t="shared" si="27"/>
        <v>0</v>
      </c>
      <c r="J26" s="670"/>
      <c r="K26" s="670">
        <f t="shared" si="44"/>
        <v>1897200</v>
      </c>
      <c r="L26" s="670"/>
      <c r="M26" s="670"/>
    </row>
    <row r="27" spans="1:13" s="668" customFormat="1" ht="19.5" customHeight="1">
      <c r="A27" s="669" t="s">
        <v>586</v>
      </c>
      <c r="B27" s="670">
        <f>+B28+B32</f>
        <v>146131233.84</v>
      </c>
      <c r="C27" s="670">
        <f t="shared" ref="C27:I27" si="45">+C28+C32</f>
        <v>0</v>
      </c>
      <c r="D27" s="670">
        <f t="shared" si="45"/>
        <v>0</v>
      </c>
      <c r="E27" s="670">
        <f t="shared" si="45"/>
        <v>146131233.84</v>
      </c>
      <c r="F27" s="670">
        <f t="shared" si="45"/>
        <v>0</v>
      </c>
      <c r="G27" s="670">
        <f t="shared" si="45"/>
        <v>0</v>
      </c>
      <c r="H27" s="670">
        <f t="shared" si="45"/>
        <v>4968096</v>
      </c>
      <c r="I27" s="670">
        <f t="shared" si="45"/>
        <v>4968096</v>
      </c>
      <c r="J27" s="670"/>
      <c r="K27" s="670">
        <f t="shared" ref="K27:M27" si="46">+K28+K32</f>
        <v>141163137.84</v>
      </c>
      <c r="L27" s="670">
        <f t="shared" si="46"/>
        <v>0</v>
      </c>
      <c r="M27" s="670">
        <f t="shared" si="46"/>
        <v>0</v>
      </c>
    </row>
    <row r="28" spans="1:13" s="668" customFormat="1" ht="19.5" customHeight="1">
      <c r="A28" s="669" t="s">
        <v>587</v>
      </c>
      <c r="B28" s="670">
        <f>SUM(B29:B31)</f>
        <v>66284672.509999998</v>
      </c>
      <c r="C28" s="670">
        <f t="shared" ref="C28:I28" si="47">SUM(C29:C31)</f>
        <v>0</v>
      </c>
      <c r="D28" s="670">
        <f t="shared" si="47"/>
        <v>0</v>
      </c>
      <c r="E28" s="670">
        <f t="shared" si="47"/>
        <v>66284672.509999998</v>
      </c>
      <c r="F28" s="670">
        <f t="shared" si="47"/>
        <v>0</v>
      </c>
      <c r="G28" s="670">
        <f t="shared" si="47"/>
        <v>0</v>
      </c>
      <c r="H28" s="670">
        <f t="shared" si="47"/>
        <v>333450</v>
      </c>
      <c r="I28" s="670">
        <f t="shared" si="47"/>
        <v>333450</v>
      </c>
      <c r="J28" s="670"/>
      <c r="K28" s="670">
        <f t="shared" ref="K28:M28" si="48">SUM(K29:K31)</f>
        <v>65951222.509999998</v>
      </c>
      <c r="L28" s="670">
        <f t="shared" si="48"/>
        <v>0</v>
      </c>
      <c r="M28" s="670">
        <f t="shared" si="48"/>
        <v>0</v>
      </c>
    </row>
    <row r="29" spans="1:13" s="668" customFormat="1" ht="19.5" customHeight="1">
      <c r="A29" s="669" t="s">
        <v>588</v>
      </c>
      <c r="B29" s="671">
        <v>57143071.57</v>
      </c>
      <c r="C29" s="670">
        <v>0</v>
      </c>
      <c r="D29" s="670">
        <v>0</v>
      </c>
      <c r="E29" s="670">
        <f t="shared" ref="E29:E31" si="49">+B29+D29</f>
        <v>57143071.57</v>
      </c>
      <c r="F29" s="670"/>
      <c r="G29" s="670"/>
      <c r="H29" s="671">
        <v>333450</v>
      </c>
      <c r="I29" s="670">
        <f t="shared" ref="I29:I31" si="50">+H29</f>
        <v>333450</v>
      </c>
      <c r="J29" s="670"/>
      <c r="K29" s="670">
        <f t="shared" ref="K29:K31" si="51">+E29-I29</f>
        <v>56809621.57</v>
      </c>
      <c r="L29" s="670"/>
      <c r="M29" s="670"/>
    </row>
    <row r="30" spans="1:13" s="668" customFormat="1" ht="36" customHeight="1">
      <c r="A30" s="669" t="s">
        <v>589</v>
      </c>
      <c r="B30" s="671">
        <v>8153475.9400000004</v>
      </c>
      <c r="C30" s="670">
        <v>0</v>
      </c>
      <c r="D30" s="670">
        <v>0</v>
      </c>
      <c r="E30" s="670">
        <f t="shared" si="49"/>
        <v>8153475.9400000004</v>
      </c>
      <c r="F30" s="670"/>
      <c r="G30" s="670"/>
      <c r="H30" s="670">
        <v>0</v>
      </c>
      <c r="I30" s="670">
        <f t="shared" si="50"/>
        <v>0</v>
      </c>
      <c r="J30" s="670"/>
      <c r="K30" s="670">
        <f t="shared" si="51"/>
        <v>8153475.9400000004</v>
      </c>
      <c r="L30" s="670"/>
      <c r="M30" s="670"/>
    </row>
    <row r="31" spans="1:13" s="668" customFormat="1" ht="36" customHeight="1">
      <c r="A31" s="669" t="s">
        <v>590</v>
      </c>
      <c r="B31" s="671">
        <v>988125</v>
      </c>
      <c r="C31" s="670">
        <v>0</v>
      </c>
      <c r="D31" s="670">
        <v>0</v>
      </c>
      <c r="E31" s="670">
        <f t="shared" si="49"/>
        <v>988125</v>
      </c>
      <c r="F31" s="670"/>
      <c r="G31" s="670"/>
      <c r="H31" s="670">
        <v>0</v>
      </c>
      <c r="I31" s="670">
        <f t="shared" si="50"/>
        <v>0</v>
      </c>
      <c r="J31" s="670"/>
      <c r="K31" s="670">
        <f t="shared" si="51"/>
        <v>988125</v>
      </c>
      <c r="L31" s="670"/>
      <c r="M31" s="670"/>
    </row>
    <row r="32" spans="1:13" s="668" customFormat="1" ht="36" customHeight="1">
      <c r="A32" s="669" t="s">
        <v>591</v>
      </c>
      <c r="B32" s="670">
        <f>SUM(B33:B35)</f>
        <v>79846561.329999998</v>
      </c>
      <c r="C32" s="670">
        <f t="shared" ref="C32:I32" si="52">SUM(C33:C35)</f>
        <v>0</v>
      </c>
      <c r="D32" s="670">
        <f t="shared" si="52"/>
        <v>0</v>
      </c>
      <c r="E32" s="670">
        <f t="shared" si="52"/>
        <v>79846561.329999998</v>
      </c>
      <c r="F32" s="670">
        <f t="shared" si="52"/>
        <v>0</v>
      </c>
      <c r="G32" s="670">
        <f t="shared" si="52"/>
        <v>0</v>
      </c>
      <c r="H32" s="670">
        <f t="shared" si="52"/>
        <v>4634646</v>
      </c>
      <c r="I32" s="670">
        <f t="shared" si="52"/>
        <v>4634646</v>
      </c>
      <c r="J32" s="670"/>
      <c r="K32" s="670">
        <f t="shared" ref="K32:M32" si="53">SUM(K33:K35)</f>
        <v>75211915.329999998</v>
      </c>
      <c r="L32" s="670">
        <f t="shared" si="53"/>
        <v>0</v>
      </c>
      <c r="M32" s="670">
        <f t="shared" si="53"/>
        <v>0</v>
      </c>
    </row>
    <row r="33" spans="1:13" s="668" customFormat="1" ht="36" customHeight="1">
      <c r="A33" s="669" t="s">
        <v>592</v>
      </c>
      <c r="B33" s="671">
        <v>70818928</v>
      </c>
      <c r="C33" s="670">
        <v>0</v>
      </c>
      <c r="D33" s="670">
        <v>0</v>
      </c>
      <c r="E33" s="670">
        <f t="shared" ref="E33:E35" si="54">+B33+D33</f>
        <v>70818928</v>
      </c>
      <c r="F33" s="670"/>
      <c r="G33" s="670"/>
      <c r="H33" s="671">
        <v>3722667</v>
      </c>
      <c r="I33" s="670">
        <f t="shared" ref="I33:I35" si="55">+H33</f>
        <v>3722667</v>
      </c>
      <c r="J33" s="670"/>
      <c r="K33" s="670">
        <f t="shared" ref="K33:K35" si="56">+E33-I33</f>
        <v>67096261</v>
      </c>
      <c r="L33" s="670"/>
      <c r="M33" s="670"/>
    </row>
    <row r="34" spans="1:13" s="668" customFormat="1" ht="36" customHeight="1">
      <c r="A34" s="669" t="s">
        <v>593</v>
      </c>
      <c r="B34" s="671">
        <v>8131733.3300000001</v>
      </c>
      <c r="C34" s="670">
        <v>0</v>
      </c>
      <c r="D34" s="670">
        <v>0</v>
      </c>
      <c r="E34" s="670">
        <f t="shared" si="54"/>
        <v>8131733.3300000001</v>
      </c>
      <c r="F34" s="670"/>
      <c r="G34" s="670"/>
      <c r="H34" s="671">
        <v>911979</v>
      </c>
      <c r="I34" s="670">
        <f t="shared" si="55"/>
        <v>911979</v>
      </c>
      <c r="J34" s="670"/>
      <c r="K34" s="670">
        <f t="shared" si="56"/>
        <v>7219754.3300000001</v>
      </c>
      <c r="L34" s="670"/>
      <c r="M34" s="670"/>
    </row>
    <row r="35" spans="1:13" s="668" customFormat="1" ht="36" customHeight="1">
      <c r="A35" s="669" t="s">
        <v>594</v>
      </c>
      <c r="B35" s="671">
        <v>895900</v>
      </c>
      <c r="C35" s="670">
        <v>0</v>
      </c>
      <c r="D35" s="670">
        <v>0</v>
      </c>
      <c r="E35" s="670">
        <f t="shared" si="54"/>
        <v>895900</v>
      </c>
      <c r="F35" s="670"/>
      <c r="G35" s="670"/>
      <c r="H35" s="670">
        <v>0</v>
      </c>
      <c r="I35" s="670">
        <f t="shared" si="55"/>
        <v>0</v>
      </c>
      <c r="J35" s="670"/>
      <c r="K35" s="670">
        <f t="shared" si="56"/>
        <v>895900</v>
      </c>
      <c r="L35" s="670"/>
      <c r="M35" s="670"/>
    </row>
    <row r="36" spans="1:13" s="668" customFormat="1" ht="36" customHeight="1">
      <c r="A36" s="669" t="s">
        <v>595</v>
      </c>
      <c r="B36" s="670">
        <f>+B37+B41+B43+B47+B51</f>
        <v>508117391.03999996</v>
      </c>
      <c r="C36" s="670">
        <f t="shared" ref="C36:I36" si="57">+C37+C41+C43+C47+C51</f>
        <v>0</v>
      </c>
      <c r="D36" s="670">
        <f t="shared" si="57"/>
        <v>0</v>
      </c>
      <c r="E36" s="670">
        <f t="shared" si="57"/>
        <v>508117391.03999996</v>
      </c>
      <c r="F36" s="670">
        <f t="shared" si="57"/>
        <v>0</v>
      </c>
      <c r="G36" s="670">
        <f t="shared" si="57"/>
        <v>0</v>
      </c>
      <c r="H36" s="670">
        <f t="shared" si="57"/>
        <v>82288134.079999998</v>
      </c>
      <c r="I36" s="670">
        <f t="shared" si="57"/>
        <v>82288134.079999998</v>
      </c>
      <c r="J36" s="670"/>
      <c r="K36" s="670">
        <f t="shared" ref="K36:M36" si="58">+K37+K41+K43+K47+K51</f>
        <v>425829256.95999998</v>
      </c>
      <c r="L36" s="670">
        <f t="shared" si="58"/>
        <v>0</v>
      </c>
      <c r="M36" s="670">
        <f t="shared" si="58"/>
        <v>0</v>
      </c>
    </row>
    <row r="37" spans="1:13" s="668" customFormat="1" ht="36" customHeight="1">
      <c r="A37" s="669" t="s">
        <v>596</v>
      </c>
      <c r="B37" s="670">
        <f>SUM(B38:B40)</f>
        <v>200637897.59999999</v>
      </c>
      <c r="C37" s="670">
        <f t="shared" ref="C37:I37" si="59">SUM(C38:C40)</f>
        <v>0</v>
      </c>
      <c r="D37" s="670">
        <f t="shared" si="59"/>
        <v>0</v>
      </c>
      <c r="E37" s="670">
        <f t="shared" si="59"/>
        <v>200637897.59999999</v>
      </c>
      <c r="F37" s="670">
        <f t="shared" si="59"/>
        <v>0</v>
      </c>
      <c r="G37" s="670">
        <f t="shared" si="59"/>
        <v>0</v>
      </c>
      <c r="H37" s="670">
        <f t="shared" si="59"/>
        <v>31111064</v>
      </c>
      <c r="I37" s="670">
        <f t="shared" si="59"/>
        <v>31111064</v>
      </c>
      <c r="J37" s="670"/>
      <c r="K37" s="670">
        <f t="shared" ref="K37:M37" si="60">SUM(K38:K40)</f>
        <v>169526833.59999999</v>
      </c>
      <c r="L37" s="670">
        <f t="shared" si="60"/>
        <v>0</v>
      </c>
      <c r="M37" s="670">
        <f t="shared" si="60"/>
        <v>0</v>
      </c>
    </row>
    <row r="38" spans="1:13" s="668" customFormat="1" ht="36" customHeight="1">
      <c r="A38" s="669" t="s">
        <v>597</v>
      </c>
      <c r="B38" s="671">
        <v>173350608</v>
      </c>
      <c r="C38" s="670">
        <v>0</v>
      </c>
      <c r="D38" s="670">
        <v>0</v>
      </c>
      <c r="E38" s="670">
        <f t="shared" ref="E38:E40" si="61">+B38+D38</f>
        <v>173350608</v>
      </c>
      <c r="F38" s="670"/>
      <c r="G38" s="670"/>
      <c r="H38" s="671">
        <v>26485756</v>
      </c>
      <c r="I38" s="670">
        <f t="shared" ref="I38:I40" si="62">+H38</f>
        <v>26485756</v>
      </c>
      <c r="J38" s="670"/>
      <c r="K38" s="670">
        <f t="shared" ref="K38:K40" si="63">+E38-I38</f>
        <v>146864852</v>
      </c>
      <c r="L38" s="670"/>
      <c r="M38" s="670"/>
    </row>
    <row r="39" spans="1:13" s="668" customFormat="1" ht="36" customHeight="1">
      <c r="A39" s="669" t="s">
        <v>598</v>
      </c>
      <c r="B39" s="671">
        <v>24859392</v>
      </c>
      <c r="C39" s="670">
        <v>0</v>
      </c>
      <c r="D39" s="670">
        <v>0</v>
      </c>
      <c r="E39" s="670">
        <f t="shared" si="61"/>
        <v>24859392</v>
      </c>
      <c r="F39" s="670"/>
      <c r="G39" s="670"/>
      <c r="H39" s="671">
        <v>4625308</v>
      </c>
      <c r="I39" s="670">
        <f t="shared" si="62"/>
        <v>4625308</v>
      </c>
      <c r="J39" s="670"/>
      <c r="K39" s="670">
        <f t="shared" si="63"/>
        <v>20234084</v>
      </c>
      <c r="L39" s="670"/>
      <c r="M39" s="670"/>
    </row>
    <row r="40" spans="1:13" s="668" customFormat="1" ht="36" customHeight="1">
      <c r="A40" s="669" t="s">
        <v>599</v>
      </c>
      <c r="B40" s="671">
        <v>2427897.6</v>
      </c>
      <c r="C40" s="670">
        <v>0</v>
      </c>
      <c r="D40" s="670">
        <v>0</v>
      </c>
      <c r="E40" s="670">
        <f t="shared" si="61"/>
        <v>2427897.6</v>
      </c>
      <c r="F40" s="670"/>
      <c r="G40" s="670"/>
      <c r="H40" s="671">
        <v>0</v>
      </c>
      <c r="I40" s="670">
        <f t="shared" si="62"/>
        <v>0</v>
      </c>
      <c r="J40" s="670"/>
      <c r="K40" s="670">
        <f t="shared" si="63"/>
        <v>2427897.6</v>
      </c>
      <c r="L40" s="670"/>
      <c r="M40" s="670"/>
    </row>
    <row r="41" spans="1:13" s="668" customFormat="1" ht="36" customHeight="1">
      <c r="A41" s="669" t="s">
        <v>600</v>
      </c>
      <c r="B41" s="670">
        <f>+B42</f>
        <v>1000</v>
      </c>
      <c r="C41" s="670">
        <f t="shared" ref="C41:I41" si="64">+C42</f>
        <v>0</v>
      </c>
      <c r="D41" s="670">
        <f t="shared" si="64"/>
        <v>0</v>
      </c>
      <c r="E41" s="670">
        <f t="shared" si="64"/>
        <v>1000</v>
      </c>
      <c r="F41" s="670">
        <f t="shared" si="64"/>
        <v>0</v>
      </c>
      <c r="G41" s="670">
        <f t="shared" si="64"/>
        <v>0</v>
      </c>
      <c r="H41" s="670">
        <f t="shared" si="64"/>
        <v>0</v>
      </c>
      <c r="I41" s="670">
        <f t="shared" si="64"/>
        <v>0</v>
      </c>
      <c r="J41" s="670"/>
      <c r="K41" s="670">
        <f t="shared" ref="K41:M41" si="65">+K42</f>
        <v>1000</v>
      </c>
      <c r="L41" s="670">
        <f t="shared" si="65"/>
        <v>0</v>
      </c>
      <c r="M41" s="670">
        <f t="shared" si="65"/>
        <v>0</v>
      </c>
    </row>
    <row r="42" spans="1:13" s="668" customFormat="1" ht="19.5" customHeight="1">
      <c r="A42" s="669" t="s">
        <v>601</v>
      </c>
      <c r="B42" s="671">
        <v>1000</v>
      </c>
      <c r="C42" s="670">
        <v>0</v>
      </c>
      <c r="D42" s="670">
        <v>0</v>
      </c>
      <c r="E42" s="670">
        <f t="shared" ref="E42" si="66">+B42+D42</f>
        <v>1000</v>
      </c>
      <c r="F42" s="670"/>
      <c r="G42" s="670"/>
      <c r="H42" s="670">
        <v>0</v>
      </c>
      <c r="I42" s="670">
        <f t="shared" ref="I42" si="67">+H42</f>
        <v>0</v>
      </c>
      <c r="J42" s="670"/>
      <c r="K42" s="670">
        <f t="shared" ref="K42" si="68">+E42-I42</f>
        <v>1000</v>
      </c>
      <c r="L42" s="670"/>
      <c r="M42" s="670"/>
    </row>
    <row r="43" spans="1:13" s="668" customFormat="1" ht="19.5" customHeight="1">
      <c r="A43" s="669" t="s">
        <v>602</v>
      </c>
      <c r="B43" s="670">
        <f>SUM(B44:B46)</f>
        <v>157000070.23999998</v>
      </c>
      <c r="C43" s="670">
        <f t="shared" ref="C43:I43" si="69">SUM(C44:C46)</f>
        <v>0</v>
      </c>
      <c r="D43" s="670">
        <f t="shared" si="69"/>
        <v>0</v>
      </c>
      <c r="E43" s="670">
        <f t="shared" si="69"/>
        <v>157000070.23999998</v>
      </c>
      <c r="F43" s="670">
        <f t="shared" si="69"/>
        <v>0</v>
      </c>
      <c r="G43" s="670">
        <f t="shared" si="69"/>
        <v>0</v>
      </c>
      <c r="H43" s="670">
        <f t="shared" si="69"/>
        <v>29168370.079999998</v>
      </c>
      <c r="I43" s="670">
        <f t="shared" si="69"/>
        <v>29168370.079999998</v>
      </c>
      <c r="J43" s="670"/>
      <c r="K43" s="670">
        <f t="shared" ref="K43:M43" si="70">SUM(K44:K46)</f>
        <v>127831700.16000001</v>
      </c>
      <c r="L43" s="670">
        <f t="shared" si="70"/>
        <v>0</v>
      </c>
      <c r="M43" s="670">
        <f t="shared" si="70"/>
        <v>0</v>
      </c>
    </row>
    <row r="44" spans="1:13" s="668" customFormat="1" ht="36" customHeight="1">
      <c r="A44" s="669" t="s">
        <v>603</v>
      </c>
      <c r="B44" s="671">
        <v>134063091.90000001</v>
      </c>
      <c r="C44" s="670">
        <v>0</v>
      </c>
      <c r="D44" s="670">
        <v>0</v>
      </c>
      <c r="E44" s="670">
        <f t="shared" ref="E44:E46" si="71">+B44+D44</f>
        <v>134063091.90000001</v>
      </c>
      <c r="F44" s="670"/>
      <c r="G44" s="670"/>
      <c r="H44" s="671">
        <v>25624368.079999998</v>
      </c>
      <c r="I44" s="670">
        <f t="shared" ref="I44:I46" si="72">+H44</f>
        <v>25624368.079999998</v>
      </c>
      <c r="J44" s="670"/>
      <c r="K44" s="670">
        <f t="shared" ref="K44:K46" si="73">+E44-I44</f>
        <v>108438723.82000001</v>
      </c>
      <c r="L44" s="670"/>
      <c r="M44" s="670"/>
    </row>
    <row r="45" spans="1:13" s="668" customFormat="1" ht="36" customHeight="1">
      <c r="A45" s="669" t="s">
        <v>604</v>
      </c>
      <c r="B45" s="671">
        <v>21167369.670000002</v>
      </c>
      <c r="C45" s="670">
        <v>0</v>
      </c>
      <c r="D45" s="670">
        <v>0</v>
      </c>
      <c r="E45" s="670">
        <f t="shared" si="71"/>
        <v>21167369.670000002</v>
      </c>
      <c r="F45" s="670"/>
      <c r="G45" s="670"/>
      <c r="H45" s="671">
        <v>3544002</v>
      </c>
      <c r="I45" s="670">
        <f t="shared" si="72"/>
        <v>3544002</v>
      </c>
      <c r="J45" s="670"/>
      <c r="K45" s="670">
        <f t="shared" si="73"/>
        <v>17623367.670000002</v>
      </c>
      <c r="L45" s="670"/>
      <c r="M45" s="670"/>
    </row>
    <row r="46" spans="1:13" s="668" customFormat="1" ht="36" customHeight="1">
      <c r="A46" s="669" t="s">
        <v>605</v>
      </c>
      <c r="B46" s="671">
        <v>1769608.67</v>
      </c>
      <c r="C46" s="670">
        <v>0</v>
      </c>
      <c r="D46" s="670">
        <v>0</v>
      </c>
      <c r="E46" s="670">
        <f t="shared" si="71"/>
        <v>1769608.67</v>
      </c>
      <c r="F46" s="670"/>
      <c r="G46" s="670"/>
      <c r="H46" s="671">
        <v>0</v>
      </c>
      <c r="I46" s="670">
        <f t="shared" si="72"/>
        <v>0</v>
      </c>
      <c r="J46" s="670"/>
      <c r="K46" s="670">
        <f t="shared" si="73"/>
        <v>1769608.67</v>
      </c>
      <c r="L46" s="670"/>
      <c r="M46" s="670"/>
    </row>
    <row r="47" spans="1:13" s="668" customFormat="1" ht="36" customHeight="1">
      <c r="A47" s="669" t="s">
        <v>606</v>
      </c>
      <c r="B47" s="670">
        <f>SUM(B48:B50)</f>
        <v>66879299.200000003</v>
      </c>
      <c r="C47" s="670">
        <f t="shared" ref="C47:I47" si="74">SUM(C48:C50)</f>
        <v>0</v>
      </c>
      <c r="D47" s="670">
        <f t="shared" si="74"/>
        <v>0</v>
      </c>
      <c r="E47" s="670">
        <f t="shared" si="74"/>
        <v>66879299.200000003</v>
      </c>
      <c r="F47" s="670">
        <f t="shared" si="74"/>
        <v>0</v>
      </c>
      <c r="G47" s="670">
        <f t="shared" si="74"/>
        <v>0</v>
      </c>
      <c r="H47" s="670">
        <f t="shared" si="74"/>
        <v>9302400</v>
      </c>
      <c r="I47" s="670">
        <f t="shared" si="74"/>
        <v>9302400</v>
      </c>
      <c r="J47" s="670"/>
      <c r="K47" s="670">
        <f t="shared" ref="K47:M47" si="75">SUM(K48:K50)</f>
        <v>57576899.200000003</v>
      </c>
      <c r="L47" s="670">
        <f t="shared" si="75"/>
        <v>0</v>
      </c>
      <c r="M47" s="670">
        <f t="shared" si="75"/>
        <v>0</v>
      </c>
    </row>
    <row r="48" spans="1:13" s="668" customFormat="1" ht="36" customHeight="1">
      <c r="A48" s="669" t="s">
        <v>607</v>
      </c>
      <c r="B48" s="671">
        <v>57783536</v>
      </c>
      <c r="C48" s="670">
        <v>0</v>
      </c>
      <c r="D48" s="670">
        <v>0</v>
      </c>
      <c r="E48" s="670">
        <f t="shared" ref="E48:E50" si="76">+B48+D48</f>
        <v>57783536</v>
      </c>
      <c r="F48" s="670"/>
      <c r="G48" s="670"/>
      <c r="H48" s="671">
        <v>8568000</v>
      </c>
      <c r="I48" s="670">
        <f t="shared" ref="I48:I50" si="77">+H48</f>
        <v>8568000</v>
      </c>
      <c r="J48" s="670"/>
      <c r="K48" s="670">
        <f t="shared" ref="K48:K50" si="78">+E48-I48</f>
        <v>49215536</v>
      </c>
      <c r="L48" s="670"/>
      <c r="M48" s="670"/>
    </row>
    <row r="49" spans="1:13" s="668" customFormat="1" ht="36" customHeight="1">
      <c r="A49" s="669" t="s">
        <v>608</v>
      </c>
      <c r="B49" s="671">
        <v>8286464</v>
      </c>
      <c r="C49" s="670">
        <v>0</v>
      </c>
      <c r="D49" s="670">
        <v>0</v>
      </c>
      <c r="E49" s="670">
        <f t="shared" si="76"/>
        <v>8286464</v>
      </c>
      <c r="F49" s="670"/>
      <c r="G49" s="670"/>
      <c r="H49" s="671">
        <v>734400</v>
      </c>
      <c r="I49" s="670">
        <f t="shared" si="77"/>
        <v>734400</v>
      </c>
      <c r="J49" s="670"/>
      <c r="K49" s="670">
        <f t="shared" si="78"/>
        <v>7552064</v>
      </c>
      <c r="L49" s="670"/>
      <c r="M49" s="670"/>
    </row>
    <row r="50" spans="1:13" s="668" customFormat="1" ht="36" customHeight="1">
      <c r="A50" s="669" t="s">
        <v>609</v>
      </c>
      <c r="B50" s="671">
        <v>809299.2</v>
      </c>
      <c r="C50" s="670">
        <v>0</v>
      </c>
      <c r="D50" s="670">
        <v>0</v>
      </c>
      <c r="E50" s="670">
        <f t="shared" si="76"/>
        <v>809299.2</v>
      </c>
      <c r="F50" s="670"/>
      <c r="G50" s="670"/>
      <c r="H50" s="671">
        <v>0</v>
      </c>
      <c r="I50" s="670">
        <f t="shared" si="77"/>
        <v>0</v>
      </c>
      <c r="J50" s="670"/>
      <c r="K50" s="670">
        <f t="shared" si="78"/>
        <v>809299.2</v>
      </c>
      <c r="L50" s="670"/>
      <c r="M50" s="670"/>
    </row>
    <row r="51" spans="1:13" s="668" customFormat="1" ht="36" customHeight="1">
      <c r="A51" s="669" t="s">
        <v>610</v>
      </c>
      <c r="B51" s="670">
        <f>SUM(B52:B54)</f>
        <v>83599124</v>
      </c>
      <c r="C51" s="670">
        <f t="shared" ref="C51:I51" si="79">SUM(C52:C54)</f>
        <v>0</v>
      </c>
      <c r="D51" s="670">
        <f t="shared" si="79"/>
        <v>0</v>
      </c>
      <c r="E51" s="670">
        <f t="shared" si="79"/>
        <v>83599124</v>
      </c>
      <c r="F51" s="670">
        <f t="shared" si="79"/>
        <v>0</v>
      </c>
      <c r="G51" s="670">
        <f t="shared" si="79"/>
        <v>0</v>
      </c>
      <c r="H51" s="670">
        <f t="shared" si="79"/>
        <v>12706300</v>
      </c>
      <c r="I51" s="670">
        <f t="shared" si="79"/>
        <v>12706300</v>
      </c>
      <c r="J51" s="670"/>
      <c r="K51" s="670">
        <f t="shared" ref="K51:M51" si="80">SUM(K52:K54)</f>
        <v>70892824</v>
      </c>
      <c r="L51" s="670">
        <f t="shared" si="80"/>
        <v>0</v>
      </c>
      <c r="M51" s="670">
        <f t="shared" si="80"/>
        <v>0</v>
      </c>
    </row>
    <row r="52" spans="1:13" s="668" customFormat="1" ht="36" customHeight="1">
      <c r="A52" s="669" t="s">
        <v>611</v>
      </c>
      <c r="B52" s="671">
        <v>72229420</v>
      </c>
      <c r="C52" s="670">
        <v>0</v>
      </c>
      <c r="D52" s="670">
        <v>0</v>
      </c>
      <c r="E52" s="670">
        <f t="shared" ref="E52:E54" si="81">+B52+D52</f>
        <v>72229420</v>
      </c>
      <c r="F52" s="670"/>
      <c r="G52" s="670"/>
      <c r="H52" s="671">
        <v>10280300</v>
      </c>
      <c r="I52" s="670">
        <f t="shared" ref="I52:I54" si="82">+H52</f>
        <v>10280300</v>
      </c>
      <c r="J52" s="670"/>
      <c r="K52" s="670">
        <f t="shared" ref="K52:K54" si="83">+E52-I52</f>
        <v>61949120</v>
      </c>
      <c r="L52" s="670"/>
      <c r="M52" s="670"/>
    </row>
    <row r="53" spans="1:13" s="668" customFormat="1" ht="36" customHeight="1">
      <c r="A53" s="669" t="s">
        <v>612</v>
      </c>
      <c r="B53" s="671">
        <v>10358080</v>
      </c>
      <c r="C53" s="670">
        <v>0</v>
      </c>
      <c r="D53" s="670">
        <v>0</v>
      </c>
      <c r="E53" s="670">
        <f t="shared" si="81"/>
        <v>10358080</v>
      </c>
      <c r="F53" s="670"/>
      <c r="G53" s="670"/>
      <c r="H53" s="671">
        <v>2426000</v>
      </c>
      <c r="I53" s="670">
        <f t="shared" si="82"/>
        <v>2426000</v>
      </c>
      <c r="J53" s="670"/>
      <c r="K53" s="670">
        <f t="shared" si="83"/>
        <v>7932080</v>
      </c>
      <c r="L53" s="670"/>
      <c r="M53" s="670"/>
    </row>
    <row r="54" spans="1:13" s="668" customFormat="1" ht="36" customHeight="1">
      <c r="A54" s="669" t="s">
        <v>613</v>
      </c>
      <c r="B54" s="671">
        <v>1011624</v>
      </c>
      <c r="C54" s="670">
        <v>0</v>
      </c>
      <c r="D54" s="670">
        <v>0</v>
      </c>
      <c r="E54" s="670">
        <f t="shared" si="81"/>
        <v>1011624</v>
      </c>
      <c r="F54" s="670"/>
      <c r="G54" s="670"/>
      <c r="H54" s="671">
        <v>0</v>
      </c>
      <c r="I54" s="670">
        <f t="shared" si="82"/>
        <v>0</v>
      </c>
      <c r="J54" s="670"/>
      <c r="K54" s="670">
        <f t="shared" si="83"/>
        <v>1011624</v>
      </c>
      <c r="L54" s="670"/>
      <c r="M54" s="670"/>
    </row>
    <row r="55" spans="1:13" s="668" customFormat="1" ht="36" customHeight="1">
      <c r="A55" s="669" t="s">
        <v>614</v>
      </c>
      <c r="B55" s="670">
        <f>+B56+B65</f>
        <v>224221860</v>
      </c>
      <c r="C55" s="670">
        <f t="shared" ref="C55:I55" si="84">+C56+C65</f>
        <v>0</v>
      </c>
      <c r="D55" s="670">
        <f t="shared" si="84"/>
        <v>0</v>
      </c>
      <c r="E55" s="670">
        <f t="shared" si="84"/>
        <v>224221860</v>
      </c>
      <c r="F55" s="670">
        <f t="shared" si="84"/>
        <v>0</v>
      </c>
      <c r="G55" s="670">
        <f t="shared" si="84"/>
        <v>0</v>
      </c>
      <c r="H55" s="670">
        <f t="shared" si="84"/>
        <v>12521217</v>
      </c>
      <c r="I55" s="670">
        <f t="shared" si="84"/>
        <v>12521217</v>
      </c>
      <c r="J55" s="670"/>
      <c r="K55" s="670">
        <f t="shared" ref="K55:M55" si="85">+K56+K65</f>
        <v>211700643</v>
      </c>
      <c r="L55" s="670">
        <f t="shared" si="85"/>
        <v>0</v>
      </c>
      <c r="M55" s="670">
        <f t="shared" si="85"/>
        <v>0</v>
      </c>
    </row>
    <row r="56" spans="1:13" s="668" customFormat="1" ht="19.5" customHeight="1">
      <c r="A56" s="669" t="s">
        <v>615</v>
      </c>
      <c r="B56" s="670">
        <f>+B57+B61</f>
        <v>153926800</v>
      </c>
      <c r="C56" s="670">
        <f t="shared" ref="C56:I56" si="86">+C57+C61</f>
        <v>0</v>
      </c>
      <c r="D56" s="670">
        <f t="shared" si="86"/>
        <v>0</v>
      </c>
      <c r="E56" s="670">
        <f t="shared" si="86"/>
        <v>153926800</v>
      </c>
      <c r="F56" s="670">
        <f t="shared" si="86"/>
        <v>0</v>
      </c>
      <c r="G56" s="670">
        <f t="shared" si="86"/>
        <v>0</v>
      </c>
      <c r="H56" s="670">
        <f t="shared" si="86"/>
        <v>8882467</v>
      </c>
      <c r="I56" s="670">
        <f t="shared" si="86"/>
        <v>8882467</v>
      </c>
      <c r="J56" s="670"/>
      <c r="K56" s="670">
        <f t="shared" ref="K56:M56" si="87">+K57+K61</f>
        <v>145044333</v>
      </c>
      <c r="L56" s="670">
        <f t="shared" si="87"/>
        <v>0</v>
      </c>
      <c r="M56" s="670">
        <f t="shared" si="87"/>
        <v>0</v>
      </c>
    </row>
    <row r="57" spans="1:13" s="668" customFormat="1" ht="19.5" customHeight="1">
      <c r="A57" s="669" t="s">
        <v>616</v>
      </c>
      <c r="B57" s="670">
        <f>SUM(B58:B60)</f>
        <v>116926800</v>
      </c>
      <c r="C57" s="670">
        <f t="shared" ref="C57:I57" si="88">SUM(C58:C60)</f>
        <v>0</v>
      </c>
      <c r="D57" s="670">
        <f t="shared" si="88"/>
        <v>0</v>
      </c>
      <c r="E57" s="670">
        <f t="shared" si="88"/>
        <v>116926800</v>
      </c>
      <c r="F57" s="670">
        <f t="shared" si="88"/>
        <v>0</v>
      </c>
      <c r="G57" s="670">
        <f t="shared" si="88"/>
        <v>0</v>
      </c>
      <c r="H57" s="670">
        <f t="shared" si="88"/>
        <v>7257717</v>
      </c>
      <c r="I57" s="670">
        <f t="shared" si="88"/>
        <v>7257717</v>
      </c>
      <c r="J57" s="670"/>
      <c r="K57" s="670">
        <f t="shared" ref="K57:M57" si="89">SUM(K58:K60)</f>
        <v>109669083</v>
      </c>
      <c r="L57" s="670">
        <f t="shared" si="89"/>
        <v>0</v>
      </c>
      <c r="M57" s="670">
        <f t="shared" si="89"/>
        <v>0</v>
      </c>
    </row>
    <row r="58" spans="1:13" s="668" customFormat="1" ht="19.5" customHeight="1">
      <c r="A58" s="669" t="s">
        <v>617</v>
      </c>
      <c r="B58" s="671">
        <v>103464400</v>
      </c>
      <c r="C58" s="670">
        <v>0</v>
      </c>
      <c r="D58" s="670">
        <v>0</v>
      </c>
      <c r="E58" s="670">
        <f t="shared" ref="E58:E60" si="90">+B58+D58</f>
        <v>103464400</v>
      </c>
      <c r="F58" s="670"/>
      <c r="G58" s="670"/>
      <c r="H58" s="671">
        <v>4923050</v>
      </c>
      <c r="I58" s="670">
        <f t="shared" ref="I58:I60" si="91">+H58</f>
        <v>4923050</v>
      </c>
      <c r="J58" s="670"/>
      <c r="K58" s="670">
        <f t="shared" ref="K58:K60" si="92">+E58-I58</f>
        <v>98541350</v>
      </c>
      <c r="L58" s="670"/>
      <c r="M58" s="670"/>
    </row>
    <row r="59" spans="1:13" s="668" customFormat="1" ht="19.5" customHeight="1">
      <c r="A59" s="669" t="s">
        <v>618</v>
      </c>
      <c r="B59" s="671">
        <v>12197600</v>
      </c>
      <c r="C59" s="670">
        <v>0</v>
      </c>
      <c r="D59" s="670">
        <v>0</v>
      </c>
      <c r="E59" s="670">
        <f t="shared" si="90"/>
        <v>12197600</v>
      </c>
      <c r="F59" s="670"/>
      <c r="G59" s="670"/>
      <c r="H59" s="671">
        <v>2334667</v>
      </c>
      <c r="I59" s="670">
        <f t="shared" si="91"/>
        <v>2334667</v>
      </c>
      <c r="J59" s="670"/>
      <c r="K59" s="670">
        <f t="shared" si="92"/>
        <v>9862933</v>
      </c>
      <c r="L59" s="670"/>
      <c r="M59" s="670"/>
    </row>
    <row r="60" spans="1:13" s="668" customFormat="1" ht="19.5" customHeight="1">
      <c r="A60" s="669" t="s">
        <v>619</v>
      </c>
      <c r="B60" s="671">
        <v>1264800</v>
      </c>
      <c r="C60" s="670">
        <v>0</v>
      </c>
      <c r="D60" s="670">
        <v>0</v>
      </c>
      <c r="E60" s="670">
        <f t="shared" si="90"/>
        <v>1264800</v>
      </c>
      <c r="F60" s="670"/>
      <c r="G60" s="670"/>
      <c r="H60" s="671">
        <v>0</v>
      </c>
      <c r="I60" s="670">
        <f t="shared" si="91"/>
        <v>0</v>
      </c>
      <c r="J60" s="670"/>
      <c r="K60" s="670">
        <f t="shared" si="92"/>
        <v>1264800</v>
      </c>
      <c r="L60" s="670"/>
      <c r="M60" s="670"/>
    </row>
    <row r="61" spans="1:13" s="668" customFormat="1" ht="36" customHeight="1">
      <c r="A61" s="669" t="s">
        <v>620</v>
      </c>
      <c r="B61" s="670">
        <f>SUM(B62:B64)</f>
        <v>37000000</v>
      </c>
      <c r="C61" s="670">
        <f t="shared" ref="C61:I61" si="93">SUM(C62:C64)</f>
        <v>0</v>
      </c>
      <c r="D61" s="670">
        <f t="shared" si="93"/>
        <v>0</v>
      </c>
      <c r="E61" s="670">
        <f t="shared" si="93"/>
        <v>37000000</v>
      </c>
      <c r="F61" s="670">
        <f t="shared" si="93"/>
        <v>0</v>
      </c>
      <c r="G61" s="670">
        <f t="shared" si="93"/>
        <v>0</v>
      </c>
      <c r="H61" s="670">
        <f t="shared" si="93"/>
        <v>1624750</v>
      </c>
      <c r="I61" s="670">
        <f t="shared" si="93"/>
        <v>1624750</v>
      </c>
      <c r="J61" s="670"/>
      <c r="K61" s="670">
        <f t="shared" ref="K61:M61" si="94">SUM(K62:K64)</f>
        <v>35375250</v>
      </c>
      <c r="L61" s="670">
        <f t="shared" si="94"/>
        <v>0</v>
      </c>
      <c r="M61" s="670">
        <f t="shared" si="94"/>
        <v>0</v>
      </c>
    </row>
    <row r="62" spans="1:13" s="668" customFormat="1" ht="36" customHeight="1">
      <c r="A62" s="669" t="s">
        <v>621</v>
      </c>
      <c r="B62" s="671">
        <v>30000000</v>
      </c>
      <c r="C62" s="670">
        <v>0</v>
      </c>
      <c r="D62" s="670">
        <v>0</v>
      </c>
      <c r="E62" s="670">
        <f t="shared" ref="E62:E64" si="95">+B62+D62</f>
        <v>30000000</v>
      </c>
      <c r="F62" s="670"/>
      <c r="G62" s="670"/>
      <c r="H62" s="671">
        <v>1624750</v>
      </c>
      <c r="I62" s="670">
        <f t="shared" ref="I62:I64" si="96">+H62</f>
        <v>1624750</v>
      </c>
      <c r="J62" s="670"/>
      <c r="K62" s="670">
        <f t="shared" ref="K62:K64" si="97">+E62-I62</f>
        <v>28375250</v>
      </c>
      <c r="L62" s="670"/>
      <c r="M62" s="670"/>
    </row>
    <row r="63" spans="1:13" s="668" customFormat="1" ht="36" customHeight="1">
      <c r="A63" s="669" t="s">
        <v>622</v>
      </c>
      <c r="B63" s="671">
        <v>5000000</v>
      </c>
      <c r="C63" s="670">
        <v>0</v>
      </c>
      <c r="D63" s="670">
        <v>0</v>
      </c>
      <c r="E63" s="670">
        <f t="shared" si="95"/>
        <v>5000000</v>
      </c>
      <c r="F63" s="670"/>
      <c r="G63" s="670"/>
      <c r="H63" s="670">
        <v>0</v>
      </c>
      <c r="I63" s="670">
        <f t="shared" si="96"/>
        <v>0</v>
      </c>
      <c r="J63" s="670"/>
      <c r="K63" s="670">
        <f t="shared" si="97"/>
        <v>5000000</v>
      </c>
      <c r="L63" s="670"/>
      <c r="M63" s="670"/>
    </row>
    <row r="64" spans="1:13" s="668" customFormat="1" ht="36" customHeight="1">
      <c r="A64" s="669" t="s">
        <v>623</v>
      </c>
      <c r="B64" s="671">
        <v>2000000</v>
      </c>
      <c r="C64" s="670">
        <v>0</v>
      </c>
      <c r="D64" s="670">
        <v>0</v>
      </c>
      <c r="E64" s="670">
        <f t="shared" si="95"/>
        <v>2000000</v>
      </c>
      <c r="F64" s="670"/>
      <c r="G64" s="670"/>
      <c r="H64" s="670">
        <v>0</v>
      </c>
      <c r="I64" s="670">
        <f t="shared" si="96"/>
        <v>0</v>
      </c>
      <c r="J64" s="670"/>
      <c r="K64" s="670">
        <f t="shared" si="97"/>
        <v>2000000</v>
      </c>
      <c r="L64" s="670"/>
      <c r="M64" s="670"/>
    </row>
    <row r="65" spans="1:13" s="668" customFormat="1" ht="36" customHeight="1">
      <c r="A65" s="669" t="s">
        <v>624</v>
      </c>
      <c r="B65" s="670">
        <f>+B66</f>
        <v>70295060</v>
      </c>
      <c r="C65" s="670">
        <f t="shared" ref="C65:I65" si="98">+C66</f>
        <v>0</v>
      </c>
      <c r="D65" s="670">
        <f t="shared" si="98"/>
        <v>0</v>
      </c>
      <c r="E65" s="670">
        <f t="shared" si="98"/>
        <v>70295060</v>
      </c>
      <c r="F65" s="670">
        <f t="shared" si="98"/>
        <v>0</v>
      </c>
      <c r="G65" s="670">
        <f t="shared" si="98"/>
        <v>0</v>
      </c>
      <c r="H65" s="670">
        <f t="shared" si="98"/>
        <v>3638750</v>
      </c>
      <c r="I65" s="670">
        <f t="shared" si="98"/>
        <v>3638750</v>
      </c>
      <c r="J65" s="670"/>
      <c r="K65" s="670">
        <f t="shared" ref="K65:M65" si="99">+K66</f>
        <v>66656310</v>
      </c>
      <c r="L65" s="670">
        <f t="shared" si="99"/>
        <v>0</v>
      </c>
      <c r="M65" s="670">
        <f t="shared" si="99"/>
        <v>0</v>
      </c>
    </row>
    <row r="66" spans="1:13" s="668" customFormat="1" ht="36" customHeight="1">
      <c r="A66" s="669" t="s">
        <v>625</v>
      </c>
      <c r="B66" s="670">
        <f>SUM(B67:B69)</f>
        <v>70295060</v>
      </c>
      <c r="C66" s="670">
        <f t="shared" ref="C66:I66" si="100">SUM(C67:C69)</f>
        <v>0</v>
      </c>
      <c r="D66" s="670">
        <f t="shared" si="100"/>
        <v>0</v>
      </c>
      <c r="E66" s="670">
        <f t="shared" si="100"/>
        <v>70295060</v>
      </c>
      <c r="F66" s="670">
        <f t="shared" si="100"/>
        <v>0</v>
      </c>
      <c r="G66" s="670">
        <f t="shared" si="100"/>
        <v>0</v>
      </c>
      <c r="H66" s="670">
        <f t="shared" si="100"/>
        <v>3638750</v>
      </c>
      <c r="I66" s="670">
        <f t="shared" si="100"/>
        <v>3638750</v>
      </c>
      <c r="J66" s="670"/>
      <c r="K66" s="670">
        <f t="shared" ref="K66:M66" si="101">SUM(K67:K69)</f>
        <v>66656310</v>
      </c>
      <c r="L66" s="670">
        <f t="shared" si="101"/>
        <v>0</v>
      </c>
      <c r="M66" s="670">
        <f t="shared" si="101"/>
        <v>0</v>
      </c>
    </row>
    <row r="67" spans="1:13" s="668" customFormat="1" ht="36" customHeight="1">
      <c r="A67" s="669" t="s">
        <v>626</v>
      </c>
      <c r="B67" s="671">
        <v>61881060</v>
      </c>
      <c r="C67" s="670">
        <v>0</v>
      </c>
      <c r="D67" s="670">
        <v>0</v>
      </c>
      <c r="E67" s="670">
        <f t="shared" ref="E67:E69" si="102">+B67+D67</f>
        <v>61881060</v>
      </c>
      <c r="F67" s="670"/>
      <c r="G67" s="670"/>
      <c r="H67" s="671">
        <v>3638750</v>
      </c>
      <c r="I67" s="670">
        <f t="shared" ref="I67:I69" si="103">+H67</f>
        <v>3638750</v>
      </c>
      <c r="J67" s="670"/>
      <c r="K67" s="670">
        <f t="shared" ref="K67:K69" si="104">+E67-I67</f>
        <v>58242310</v>
      </c>
      <c r="L67" s="670"/>
      <c r="M67" s="670"/>
    </row>
    <row r="68" spans="1:13" s="668" customFormat="1" ht="36" customHeight="1">
      <c r="A68" s="669" t="s">
        <v>627</v>
      </c>
      <c r="B68" s="671">
        <v>7623500</v>
      </c>
      <c r="C68" s="670">
        <v>0</v>
      </c>
      <c r="D68" s="670">
        <v>0</v>
      </c>
      <c r="E68" s="670">
        <f t="shared" si="102"/>
        <v>7623500</v>
      </c>
      <c r="F68" s="670"/>
      <c r="G68" s="670"/>
      <c r="H68" s="670">
        <v>0</v>
      </c>
      <c r="I68" s="670">
        <f t="shared" si="103"/>
        <v>0</v>
      </c>
      <c r="J68" s="670"/>
      <c r="K68" s="670">
        <f t="shared" si="104"/>
        <v>7623500</v>
      </c>
      <c r="L68" s="670"/>
      <c r="M68" s="670"/>
    </row>
    <row r="69" spans="1:13" s="668" customFormat="1" ht="36" customHeight="1">
      <c r="A69" s="669" t="s">
        <v>628</v>
      </c>
      <c r="B69" s="671">
        <v>790500</v>
      </c>
      <c r="C69" s="670">
        <v>0</v>
      </c>
      <c r="D69" s="670">
        <v>0</v>
      </c>
      <c r="E69" s="670">
        <f t="shared" si="102"/>
        <v>790500</v>
      </c>
      <c r="F69" s="670"/>
      <c r="G69" s="670"/>
      <c r="H69" s="670">
        <v>0</v>
      </c>
      <c r="I69" s="670">
        <f t="shared" si="103"/>
        <v>0</v>
      </c>
      <c r="J69" s="670"/>
      <c r="K69" s="670">
        <f t="shared" si="104"/>
        <v>790500</v>
      </c>
      <c r="L69" s="670"/>
      <c r="M69" s="670"/>
    </row>
    <row r="70" spans="1:13" s="668" customFormat="1" ht="36" customHeight="1">
      <c r="A70" s="669" t="s">
        <v>629</v>
      </c>
      <c r="B70" s="670">
        <f>+B71</f>
        <v>87854731.340000004</v>
      </c>
      <c r="C70" s="670">
        <f t="shared" ref="C70:I73" si="105">+C71</f>
        <v>0</v>
      </c>
      <c r="D70" s="670">
        <f t="shared" si="105"/>
        <v>0</v>
      </c>
      <c r="E70" s="670">
        <f t="shared" si="105"/>
        <v>87854731.340000004</v>
      </c>
      <c r="F70" s="670">
        <f t="shared" si="105"/>
        <v>0</v>
      </c>
      <c r="G70" s="670">
        <f t="shared" si="105"/>
        <v>0</v>
      </c>
      <c r="H70" s="670">
        <f t="shared" si="105"/>
        <v>16488422</v>
      </c>
      <c r="I70" s="670">
        <f t="shared" si="105"/>
        <v>16488422</v>
      </c>
      <c r="J70" s="670"/>
      <c r="K70" s="670">
        <f t="shared" ref="K70:M73" si="106">+K71</f>
        <v>71366309.340000004</v>
      </c>
      <c r="L70" s="670">
        <f t="shared" si="106"/>
        <v>0</v>
      </c>
      <c r="M70" s="670">
        <f t="shared" si="106"/>
        <v>0</v>
      </c>
    </row>
    <row r="71" spans="1:13" s="668" customFormat="1" ht="36" customHeight="1">
      <c r="A71" s="669" t="s">
        <v>630</v>
      </c>
      <c r="B71" s="670">
        <f>+B72</f>
        <v>87854731.340000004</v>
      </c>
      <c r="C71" s="670">
        <f t="shared" si="105"/>
        <v>0</v>
      </c>
      <c r="D71" s="670">
        <f t="shared" si="105"/>
        <v>0</v>
      </c>
      <c r="E71" s="670">
        <f t="shared" si="105"/>
        <v>87854731.340000004</v>
      </c>
      <c r="F71" s="670">
        <f t="shared" si="105"/>
        <v>0</v>
      </c>
      <c r="G71" s="670">
        <f t="shared" si="105"/>
        <v>0</v>
      </c>
      <c r="H71" s="670">
        <f t="shared" si="105"/>
        <v>16488422</v>
      </c>
      <c r="I71" s="670">
        <f t="shared" si="105"/>
        <v>16488422</v>
      </c>
      <c r="J71" s="670"/>
      <c r="K71" s="670">
        <f t="shared" si="106"/>
        <v>71366309.340000004</v>
      </c>
      <c r="L71" s="670">
        <f t="shared" si="106"/>
        <v>0</v>
      </c>
      <c r="M71" s="670">
        <f t="shared" si="106"/>
        <v>0</v>
      </c>
    </row>
    <row r="72" spans="1:13" s="668" customFormat="1" ht="36" customHeight="1">
      <c r="A72" s="669" t="s">
        <v>631</v>
      </c>
      <c r="B72" s="670">
        <f>+B73</f>
        <v>87854731.340000004</v>
      </c>
      <c r="C72" s="670">
        <f t="shared" si="105"/>
        <v>0</v>
      </c>
      <c r="D72" s="670">
        <f t="shared" si="105"/>
        <v>0</v>
      </c>
      <c r="E72" s="670">
        <f t="shared" si="105"/>
        <v>87854731.340000004</v>
      </c>
      <c r="F72" s="670">
        <f t="shared" si="105"/>
        <v>0</v>
      </c>
      <c r="G72" s="670">
        <f t="shared" si="105"/>
        <v>0</v>
      </c>
      <c r="H72" s="670">
        <f t="shared" si="105"/>
        <v>16488422</v>
      </c>
      <c r="I72" s="670">
        <f t="shared" si="105"/>
        <v>16488422</v>
      </c>
      <c r="J72" s="670"/>
      <c r="K72" s="670">
        <f t="shared" si="106"/>
        <v>71366309.340000004</v>
      </c>
      <c r="L72" s="670">
        <f t="shared" si="106"/>
        <v>0</v>
      </c>
      <c r="M72" s="670">
        <f t="shared" si="106"/>
        <v>0</v>
      </c>
    </row>
    <row r="73" spans="1:13" s="668" customFormat="1" ht="36" customHeight="1">
      <c r="A73" s="669" t="s">
        <v>632</v>
      </c>
      <c r="B73" s="670">
        <f>+B74</f>
        <v>87854731.340000004</v>
      </c>
      <c r="C73" s="670">
        <f t="shared" si="105"/>
        <v>0</v>
      </c>
      <c r="D73" s="670">
        <f t="shared" si="105"/>
        <v>0</v>
      </c>
      <c r="E73" s="670">
        <f t="shared" si="105"/>
        <v>87854731.340000004</v>
      </c>
      <c r="F73" s="670">
        <f t="shared" si="105"/>
        <v>0</v>
      </c>
      <c r="G73" s="670">
        <f t="shared" si="105"/>
        <v>0</v>
      </c>
      <c r="H73" s="670">
        <f t="shared" si="105"/>
        <v>16488422</v>
      </c>
      <c r="I73" s="670">
        <f t="shared" si="105"/>
        <v>16488422</v>
      </c>
      <c r="J73" s="670"/>
      <c r="K73" s="670">
        <f t="shared" si="106"/>
        <v>71366309.340000004</v>
      </c>
      <c r="L73" s="670">
        <f t="shared" si="106"/>
        <v>0</v>
      </c>
      <c r="M73" s="670">
        <f t="shared" si="106"/>
        <v>0</v>
      </c>
    </row>
    <row r="74" spans="1:13" s="668" customFormat="1" ht="19.5" customHeight="1">
      <c r="A74" s="669" t="s">
        <v>633</v>
      </c>
      <c r="B74" s="670">
        <f>SUM(B75:B76)</f>
        <v>87854731.340000004</v>
      </c>
      <c r="C74" s="670">
        <f t="shared" ref="C74:M74" si="107">SUM(C75:C76)</f>
        <v>0</v>
      </c>
      <c r="D74" s="670">
        <f t="shared" si="107"/>
        <v>0</v>
      </c>
      <c r="E74" s="670">
        <f t="shared" si="107"/>
        <v>87854731.340000004</v>
      </c>
      <c r="F74" s="670">
        <f t="shared" si="107"/>
        <v>0</v>
      </c>
      <c r="G74" s="670">
        <f t="shared" si="107"/>
        <v>0</v>
      </c>
      <c r="H74" s="670">
        <f t="shared" si="107"/>
        <v>16488422</v>
      </c>
      <c r="I74" s="670">
        <f t="shared" si="107"/>
        <v>16488422</v>
      </c>
      <c r="J74" s="670"/>
      <c r="K74" s="670">
        <f t="shared" si="107"/>
        <v>71366309.340000004</v>
      </c>
      <c r="L74" s="670">
        <f t="shared" si="107"/>
        <v>0</v>
      </c>
      <c r="M74" s="670">
        <f t="shared" si="107"/>
        <v>0</v>
      </c>
    </row>
    <row r="75" spans="1:13" s="668" customFormat="1" ht="36" customHeight="1">
      <c r="A75" s="669" t="s">
        <v>634</v>
      </c>
      <c r="B75" s="671">
        <v>27000000</v>
      </c>
      <c r="C75" s="670">
        <v>0</v>
      </c>
      <c r="D75" s="670">
        <v>0</v>
      </c>
      <c r="E75" s="670">
        <f t="shared" ref="E75:E76" si="108">+B75+D75</f>
        <v>27000000</v>
      </c>
      <c r="F75" s="670"/>
      <c r="G75" s="670"/>
      <c r="H75" s="671">
        <v>8442795</v>
      </c>
      <c r="I75" s="670">
        <f t="shared" ref="I75:I76" si="109">+H75</f>
        <v>8442795</v>
      </c>
      <c r="J75" s="670"/>
      <c r="K75" s="670">
        <f t="shared" ref="K75:K76" si="110">+E75-I75</f>
        <v>18557205</v>
      </c>
      <c r="L75" s="670"/>
      <c r="M75" s="670"/>
    </row>
    <row r="76" spans="1:13" s="668" customFormat="1" ht="19.5" customHeight="1">
      <c r="A76" s="669" t="s">
        <v>635</v>
      </c>
      <c r="B76" s="671">
        <v>60854731.340000004</v>
      </c>
      <c r="C76" s="670">
        <v>0</v>
      </c>
      <c r="D76" s="670">
        <v>0</v>
      </c>
      <c r="E76" s="670">
        <f t="shared" si="108"/>
        <v>60854731.340000004</v>
      </c>
      <c r="F76" s="670"/>
      <c r="G76" s="670"/>
      <c r="H76" s="671">
        <v>8045627</v>
      </c>
      <c r="I76" s="670">
        <f t="shared" si="109"/>
        <v>8045627</v>
      </c>
      <c r="J76" s="670"/>
      <c r="K76" s="670">
        <f t="shared" si="110"/>
        <v>52809104.340000004</v>
      </c>
      <c r="L76" s="670"/>
      <c r="M76" s="670"/>
    </row>
    <row r="77" spans="1:13" s="668" customFormat="1" ht="36" customHeight="1">
      <c r="A77" s="669" t="s">
        <v>636</v>
      </c>
      <c r="B77" s="670">
        <f>+B78+B95</f>
        <v>49515473000</v>
      </c>
      <c r="C77" s="670">
        <f t="shared" ref="C77:I77" si="111">+C78+C95</f>
        <v>0</v>
      </c>
      <c r="D77" s="670">
        <f t="shared" si="111"/>
        <v>0</v>
      </c>
      <c r="E77" s="670">
        <f t="shared" si="111"/>
        <v>48615473000</v>
      </c>
      <c r="F77" s="670">
        <f t="shared" si="111"/>
        <v>0</v>
      </c>
      <c r="G77" s="670">
        <f t="shared" si="111"/>
        <v>0</v>
      </c>
      <c r="H77" s="670">
        <f t="shared" si="111"/>
        <v>14972705933.76</v>
      </c>
      <c r="I77" s="670">
        <f t="shared" si="111"/>
        <v>14529728933.76</v>
      </c>
      <c r="J77" s="670"/>
      <c r="K77" s="670">
        <f t="shared" ref="K77:M77" si="112">+K78+K95</f>
        <v>34085744066.240002</v>
      </c>
      <c r="L77" s="670">
        <f t="shared" si="112"/>
        <v>0</v>
      </c>
      <c r="M77" s="670">
        <f t="shared" si="112"/>
        <v>0</v>
      </c>
    </row>
    <row r="78" spans="1:13" s="668" customFormat="1" ht="19.5" customHeight="1">
      <c r="A78" s="669" t="s">
        <v>637</v>
      </c>
      <c r="B78" s="670">
        <f>+B79+B86+B90</f>
        <v>46085472000</v>
      </c>
      <c r="C78" s="670">
        <f t="shared" ref="C78:I78" si="113">+C79+C86+C90</f>
        <v>0</v>
      </c>
      <c r="D78" s="670">
        <f t="shared" si="113"/>
        <v>0</v>
      </c>
      <c r="E78" s="670">
        <f t="shared" si="113"/>
        <v>46085472000</v>
      </c>
      <c r="F78" s="670">
        <f t="shared" si="113"/>
        <v>0</v>
      </c>
      <c r="G78" s="670">
        <f t="shared" si="113"/>
        <v>0</v>
      </c>
      <c r="H78" s="670">
        <f t="shared" si="113"/>
        <v>14040570312.030001</v>
      </c>
      <c r="I78" s="670">
        <f t="shared" si="113"/>
        <v>14040570312.030001</v>
      </c>
      <c r="J78" s="670"/>
      <c r="K78" s="670">
        <f t="shared" ref="K78:M78" si="114">+K79+K86+K90</f>
        <v>32044901687.970001</v>
      </c>
      <c r="L78" s="670">
        <f t="shared" si="114"/>
        <v>0</v>
      </c>
      <c r="M78" s="670">
        <f t="shared" si="114"/>
        <v>0</v>
      </c>
    </row>
    <row r="79" spans="1:13" s="668" customFormat="1" ht="36" customHeight="1">
      <c r="A79" s="669" t="s">
        <v>638</v>
      </c>
      <c r="B79" s="670">
        <f>SUM(B80:B85)</f>
        <v>41185472000</v>
      </c>
      <c r="C79" s="670">
        <f t="shared" ref="C79:I79" si="115">SUM(C80:C85)</f>
        <v>0</v>
      </c>
      <c r="D79" s="670">
        <f t="shared" si="115"/>
        <v>0</v>
      </c>
      <c r="E79" s="670">
        <f t="shared" si="115"/>
        <v>41185472000</v>
      </c>
      <c r="F79" s="670">
        <f t="shared" si="115"/>
        <v>0</v>
      </c>
      <c r="G79" s="670">
        <f t="shared" si="115"/>
        <v>0</v>
      </c>
      <c r="H79" s="670">
        <f t="shared" si="115"/>
        <v>12969674500</v>
      </c>
      <c r="I79" s="670">
        <f t="shared" si="115"/>
        <v>12969674500</v>
      </c>
      <c r="J79" s="670"/>
      <c r="K79" s="670">
        <f t="shared" ref="K79:M79" si="116">SUM(K80:K85)</f>
        <v>28215797500</v>
      </c>
      <c r="L79" s="670">
        <f t="shared" si="116"/>
        <v>0</v>
      </c>
      <c r="M79" s="670">
        <f t="shared" si="116"/>
        <v>0</v>
      </c>
    </row>
    <row r="80" spans="1:13" s="668" customFormat="1" ht="36" customHeight="1">
      <c r="A80" s="669" t="s">
        <v>639</v>
      </c>
      <c r="B80" s="671">
        <v>27000000000</v>
      </c>
      <c r="C80" s="670">
        <v>0</v>
      </c>
      <c r="D80" s="670">
        <v>0</v>
      </c>
      <c r="E80" s="670">
        <f t="shared" ref="E80:E85" si="117">+B80+D80</f>
        <v>27000000000</v>
      </c>
      <c r="F80" s="670"/>
      <c r="G80" s="670"/>
      <c r="H80" s="671">
        <v>0</v>
      </c>
      <c r="I80" s="670">
        <f t="shared" ref="I80:I85" si="118">+H80</f>
        <v>0</v>
      </c>
      <c r="J80" s="670"/>
      <c r="K80" s="670">
        <f t="shared" ref="K80:K85" si="119">+E80-I80</f>
        <v>27000000000</v>
      </c>
      <c r="L80" s="670"/>
      <c r="M80" s="670"/>
    </row>
    <row r="81" spans="1:13" s="668" customFormat="1" ht="36" customHeight="1">
      <c r="A81" s="669" t="s">
        <v>640</v>
      </c>
      <c r="B81" s="671">
        <v>12000000000</v>
      </c>
      <c r="C81" s="670">
        <v>0</v>
      </c>
      <c r="D81" s="670">
        <v>0</v>
      </c>
      <c r="E81" s="670">
        <f t="shared" si="117"/>
        <v>12000000000</v>
      </c>
      <c r="F81" s="670"/>
      <c r="G81" s="670"/>
      <c r="H81" s="671">
        <v>12000000000</v>
      </c>
      <c r="I81" s="670">
        <f t="shared" si="118"/>
        <v>12000000000</v>
      </c>
      <c r="J81" s="670"/>
      <c r="K81" s="670">
        <f t="shared" si="119"/>
        <v>0</v>
      </c>
      <c r="L81" s="670"/>
      <c r="M81" s="670"/>
    </row>
    <row r="82" spans="1:13" s="668" customFormat="1" ht="19.5" customHeight="1">
      <c r="A82" s="669" t="s">
        <v>641</v>
      </c>
      <c r="B82" s="671">
        <v>30000000</v>
      </c>
      <c r="C82" s="670">
        <v>0</v>
      </c>
      <c r="D82" s="670">
        <v>0</v>
      </c>
      <c r="E82" s="670">
        <f t="shared" si="117"/>
        <v>30000000</v>
      </c>
      <c r="F82" s="670"/>
      <c r="G82" s="670"/>
      <c r="H82" s="671">
        <v>25000000</v>
      </c>
      <c r="I82" s="670">
        <f t="shared" si="118"/>
        <v>25000000</v>
      </c>
      <c r="J82" s="670"/>
      <c r="K82" s="670">
        <f t="shared" si="119"/>
        <v>5000000</v>
      </c>
      <c r="L82" s="670"/>
      <c r="M82" s="670"/>
    </row>
    <row r="83" spans="1:13" s="668" customFormat="1" ht="19.5" customHeight="1">
      <c r="A83" s="669" t="s">
        <v>642</v>
      </c>
      <c r="B83" s="671">
        <v>1800000000</v>
      </c>
      <c r="C83" s="670">
        <v>0</v>
      </c>
      <c r="D83" s="670">
        <v>0</v>
      </c>
      <c r="E83" s="670">
        <f t="shared" si="117"/>
        <v>1800000000</v>
      </c>
      <c r="F83" s="670"/>
      <c r="G83" s="670"/>
      <c r="H83" s="671">
        <v>801900000</v>
      </c>
      <c r="I83" s="670">
        <f t="shared" si="118"/>
        <v>801900000</v>
      </c>
      <c r="J83" s="670"/>
      <c r="K83" s="670">
        <f t="shared" si="119"/>
        <v>998100000</v>
      </c>
      <c r="L83" s="670"/>
      <c r="M83" s="670"/>
    </row>
    <row r="84" spans="1:13" s="668" customFormat="1" ht="19.5" customHeight="1">
      <c r="A84" s="669" t="s">
        <v>643</v>
      </c>
      <c r="B84" s="671">
        <v>80000000</v>
      </c>
      <c r="C84" s="670">
        <v>0</v>
      </c>
      <c r="D84" s="670">
        <v>0</v>
      </c>
      <c r="E84" s="670">
        <f t="shared" si="117"/>
        <v>80000000</v>
      </c>
      <c r="F84" s="670"/>
      <c r="G84" s="670"/>
      <c r="H84" s="671">
        <v>71500000</v>
      </c>
      <c r="I84" s="670">
        <f t="shared" si="118"/>
        <v>71500000</v>
      </c>
      <c r="J84" s="670"/>
      <c r="K84" s="670">
        <f t="shared" si="119"/>
        <v>8500000</v>
      </c>
      <c r="L84" s="670"/>
      <c r="M84" s="670"/>
    </row>
    <row r="85" spans="1:13" s="668" customFormat="1" ht="36" customHeight="1">
      <c r="A85" s="669" t="s">
        <v>644</v>
      </c>
      <c r="B85" s="671">
        <v>275472000</v>
      </c>
      <c r="C85" s="670">
        <v>0</v>
      </c>
      <c r="D85" s="670">
        <v>0</v>
      </c>
      <c r="E85" s="670">
        <f t="shared" si="117"/>
        <v>275472000</v>
      </c>
      <c r="F85" s="670"/>
      <c r="G85" s="670"/>
      <c r="H85" s="671">
        <v>71274500</v>
      </c>
      <c r="I85" s="670">
        <f t="shared" si="118"/>
        <v>71274500</v>
      </c>
      <c r="J85" s="670"/>
      <c r="K85" s="670">
        <f t="shared" si="119"/>
        <v>204197500</v>
      </c>
      <c r="L85" s="670"/>
      <c r="M85" s="670"/>
    </row>
    <row r="86" spans="1:13" s="668" customFormat="1" ht="36" customHeight="1">
      <c r="A86" s="669" t="s">
        <v>645</v>
      </c>
      <c r="B86" s="670">
        <f>SUM(B87:B89)</f>
        <v>4400000000</v>
      </c>
      <c r="C86" s="670">
        <f t="shared" ref="C86:I86" si="120">SUM(C87:C89)</f>
        <v>0</v>
      </c>
      <c r="D86" s="670">
        <f t="shared" si="120"/>
        <v>0</v>
      </c>
      <c r="E86" s="670">
        <f t="shared" si="120"/>
        <v>4400000000</v>
      </c>
      <c r="F86" s="670">
        <f t="shared" si="120"/>
        <v>0</v>
      </c>
      <c r="G86" s="670">
        <f t="shared" si="120"/>
        <v>0</v>
      </c>
      <c r="H86" s="670">
        <f t="shared" si="120"/>
        <v>992061184.02999997</v>
      </c>
      <c r="I86" s="670">
        <f t="shared" si="120"/>
        <v>992061184.02999997</v>
      </c>
      <c r="J86" s="670"/>
      <c r="K86" s="670">
        <f t="shared" ref="K86:M86" si="121">SUM(K87:K89)</f>
        <v>3407938815.9700003</v>
      </c>
      <c r="L86" s="670">
        <f t="shared" si="121"/>
        <v>0</v>
      </c>
      <c r="M86" s="670">
        <f t="shared" si="121"/>
        <v>0</v>
      </c>
    </row>
    <row r="87" spans="1:13" s="668" customFormat="1" ht="36" customHeight="1">
      <c r="A87" s="669" t="s">
        <v>646</v>
      </c>
      <c r="B87" s="671">
        <v>800000000</v>
      </c>
      <c r="C87" s="670">
        <v>0</v>
      </c>
      <c r="D87" s="670">
        <v>0</v>
      </c>
      <c r="E87" s="670">
        <f t="shared" ref="E87:E89" si="122">+B87+D87</f>
        <v>800000000</v>
      </c>
      <c r="F87" s="670"/>
      <c r="G87" s="670"/>
      <c r="H87" s="671">
        <v>113576798.03</v>
      </c>
      <c r="I87" s="670">
        <f t="shared" ref="I87:I89" si="123">+H87</f>
        <v>113576798.03</v>
      </c>
      <c r="J87" s="670"/>
      <c r="K87" s="670">
        <f t="shared" ref="K87:K89" si="124">+E87-I87</f>
        <v>686423201.97000003</v>
      </c>
      <c r="L87" s="670"/>
      <c r="M87" s="670"/>
    </row>
    <row r="88" spans="1:13" s="668" customFormat="1" ht="19.5" customHeight="1">
      <c r="A88" s="669" t="s">
        <v>647</v>
      </c>
      <c r="B88" s="671">
        <v>3500000000</v>
      </c>
      <c r="C88" s="670">
        <v>0</v>
      </c>
      <c r="D88" s="670">
        <v>0</v>
      </c>
      <c r="E88" s="670">
        <f t="shared" si="122"/>
        <v>3500000000</v>
      </c>
      <c r="F88" s="670"/>
      <c r="G88" s="670"/>
      <c r="H88" s="671">
        <v>878484386</v>
      </c>
      <c r="I88" s="670">
        <f t="shared" si="123"/>
        <v>878484386</v>
      </c>
      <c r="J88" s="670"/>
      <c r="K88" s="670">
        <f t="shared" si="124"/>
        <v>2621515614</v>
      </c>
      <c r="L88" s="670"/>
      <c r="M88" s="670"/>
    </row>
    <row r="89" spans="1:13" s="668" customFormat="1" ht="19.5" customHeight="1">
      <c r="A89" s="669" t="s">
        <v>648</v>
      </c>
      <c r="B89" s="671">
        <v>100000000</v>
      </c>
      <c r="C89" s="670">
        <v>0</v>
      </c>
      <c r="D89" s="670">
        <v>0</v>
      </c>
      <c r="E89" s="670">
        <f t="shared" si="122"/>
        <v>100000000</v>
      </c>
      <c r="F89" s="670"/>
      <c r="G89" s="670"/>
      <c r="H89" s="671">
        <v>0</v>
      </c>
      <c r="I89" s="670">
        <f t="shared" si="123"/>
        <v>0</v>
      </c>
      <c r="J89" s="670"/>
      <c r="K89" s="670">
        <f t="shared" si="124"/>
        <v>100000000</v>
      </c>
      <c r="L89" s="670"/>
      <c r="M89" s="670"/>
    </row>
    <row r="90" spans="1:13" s="668" customFormat="1" ht="19.5" customHeight="1">
      <c r="A90" s="669" t="s">
        <v>649</v>
      </c>
      <c r="B90" s="670">
        <f>SUM(B91:B94)</f>
        <v>500000000</v>
      </c>
      <c r="C90" s="670">
        <f t="shared" ref="C90:I90" si="125">SUM(C91:C94)</f>
        <v>0</v>
      </c>
      <c r="D90" s="670">
        <f t="shared" si="125"/>
        <v>0</v>
      </c>
      <c r="E90" s="670">
        <f t="shared" si="125"/>
        <v>500000000</v>
      </c>
      <c r="F90" s="670">
        <f t="shared" si="125"/>
        <v>0</v>
      </c>
      <c r="G90" s="670">
        <f t="shared" si="125"/>
        <v>0</v>
      </c>
      <c r="H90" s="670">
        <f t="shared" si="125"/>
        <v>78834628</v>
      </c>
      <c r="I90" s="670">
        <f t="shared" si="125"/>
        <v>78834628</v>
      </c>
      <c r="J90" s="670"/>
      <c r="K90" s="670">
        <f t="shared" ref="K90:M90" si="126">SUM(K91:K94)</f>
        <v>421165372</v>
      </c>
      <c r="L90" s="670">
        <f t="shared" si="126"/>
        <v>0</v>
      </c>
      <c r="M90" s="670">
        <f t="shared" si="126"/>
        <v>0</v>
      </c>
    </row>
    <row r="91" spans="1:13" s="668" customFormat="1" ht="19.5" customHeight="1">
      <c r="A91" s="672" t="s">
        <v>1120</v>
      </c>
      <c r="B91" s="671">
        <v>200000000</v>
      </c>
      <c r="C91" s="670">
        <v>0</v>
      </c>
      <c r="D91" s="670">
        <v>0</v>
      </c>
      <c r="E91" s="670">
        <f t="shared" ref="E91:E94" si="127">+B91+D91</f>
        <v>200000000</v>
      </c>
      <c r="F91" s="670"/>
      <c r="G91" s="670"/>
      <c r="H91" s="671">
        <v>78834628</v>
      </c>
      <c r="I91" s="670">
        <f t="shared" ref="I91:I94" si="128">+H91</f>
        <v>78834628</v>
      </c>
      <c r="J91" s="670"/>
      <c r="K91" s="670">
        <f t="shared" ref="K91:K94" si="129">+E91-I91</f>
        <v>121165372</v>
      </c>
      <c r="L91" s="670"/>
      <c r="M91" s="670"/>
    </row>
    <row r="92" spans="1:13" s="668" customFormat="1" ht="19.5" customHeight="1">
      <c r="A92" s="672" t="s">
        <v>1121</v>
      </c>
      <c r="B92" s="671">
        <v>100000000</v>
      </c>
      <c r="C92" s="670">
        <v>0</v>
      </c>
      <c r="D92" s="670">
        <v>0</v>
      </c>
      <c r="E92" s="670">
        <f t="shared" si="127"/>
        <v>100000000</v>
      </c>
      <c r="F92" s="670"/>
      <c r="G92" s="670"/>
      <c r="H92" s="670">
        <v>0</v>
      </c>
      <c r="I92" s="670">
        <f t="shared" si="128"/>
        <v>0</v>
      </c>
      <c r="J92" s="670"/>
      <c r="K92" s="670">
        <f t="shared" si="129"/>
        <v>100000000</v>
      </c>
      <c r="L92" s="670"/>
      <c r="M92" s="670"/>
    </row>
    <row r="93" spans="1:13" s="668" customFormat="1" ht="19.5" customHeight="1">
      <c r="A93" s="672" t="s">
        <v>1122</v>
      </c>
      <c r="B93" s="671">
        <v>50000000</v>
      </c>
      <c r="C93" s="670">
        <v>0</v>
      </c>
      <c r="D93" s="670">
        <v>0</v>
      </c>
      <c r="E93" s="670">
        <f t="shared" si="127"/>
        <v>50000000</v>
      </c>
      <c r="F93" s="670"/>
      <c r="G93" s="670"/>
      <c r="H93" s="670">
        <v>0</v>
      </c>
      <c r="I93" s="670">
        <f t="shared" si="128"/>
        <v>0</v>
      </c>
      <c r="J93" s="670"/>
      <c r="K93" s="670">
        <f t="shared" si="129"/>
        <v>50000000</v>
      </c>
      <c r="L93" s="670"/>
      <c r="M93" s="670"/>
    </row>
    <row r="94" spans="1:13" s="668" customFormat="1" ht="19.5" customHeight="1">
      <c r="A94" s="672" t="s">
        <v>1123</v>
      </c>
      <c r="B94" s="671">
        <v>150000000</v>
      </c>
      <c r="C94" s="670">
        <v>0</v>
      </c>
      <c r="D94" s="670">
        <v>0</v>
      </c>
      <c r="E94" s="670">
        <f t="shared" si="127"/>
        <v>150000000</v>
      </c>
      <c r="F94" s="670"/>
      <c r="G94" s="670"/>
      <c r="H94" s="670">
        <v>0</v>
      </c>
      <c r="I94" s="670">
        <f t="shared" si="128"/>
        <v>0</v>
      </c>
      <c r="J94" s="670"/>
      <c r="K94" s="670">
        <f t="shared" si="129"/>
        <v>150000000</v>
      </c>
      <c r="L94" s="670"/>
      <c r="M94" s="670"/>
    </row>
    <row r="95" spans="1:13" s="668" customFormat="1" ht="36" customHeight="1">
      <c r="A95" s="669" t="s">
        <v>650</v>
      </c>
      <c r="B95" s="670">
        <f>+B96+B97+B100+B107+B111+B121+B125</f>
        <v>3430001000</v>
      </c>
      <c r="C95" s="670">
        <f t="shared" ref="C95:I95" si="130">+C96+C97+C100+C107+C111+C121+C125</f>
        <v>0</v>
      </c>
      <c r="D95" s="670">
        <f t="shared" si="130"/>
        <v>0</v>
      </c>
      <c r="E95" s="670">
        <f t="shared" si="130"/>
        <v>2530001000</v>
      </c>
      <c r="F95" s="670">
        <f t="shared" si="130"/>
        <v>0</v>
      </c>
      <c r="G95" s="670">
        <f t="shared" si="130"/>
        <v>0</v>
      </c>
      <c r="H95" s="670">
        <f t="shared" si="130"/>
        <v>932135621.73000002</v>
      </c>
      <c r="I95" s="670">
        <f t="shared" si="130"/>
        <v>489158621.73000002</v>
      </c>
      <c r="J95" s="670"/>
      <c r="K95" s="670">
        <f t="shared" ref="K95:M95" si="131">+K96+K97+K100+K107+K111+K121+K125</f>
        <v>2040842378.27</v>
      </c>
      <c r="L95" s="670">
        <f t="shared" si="131"/>
        <v>0</v>
      </c>
      <c r="M95" s="670">
        <f t="shared" si="131"/>
        <v>0</v>
      </c>
    </row>
    <row r="96" spans="1:13" s="668" customFormat="1" ht="36" customHeight="1">
      <c r="A96" s="669" t="s">
        <v>651</v>
      </c>
      <c r="B96" s="671">
        <v>900000000</v>
      </c>
      <c r="C96" s="671"/>
      <c r="D96" s="671"/>
      <c r="E96" s="671"/>
      <c r="F96" s="671"/>
      <c r="G96" s="671"/>
      <c r="H96" s="671">
        <v>442977000</v>
      </c>
      <c r="I96" s="671"/>
      <c r="J96" s="670"/>
      <c r="K96" s="671"/>
      <c r="L96" s="671"/>
      <c r="M96" s="671"/>
    </row>
    <row r="97" spans="1:13" s="668" customFormat="1" ht="36" customHeight="1">
      <c r="A97" s="669" t="s">
        <v>652</v>
      </c>
      <c r="B97" s="670">
        <f>SUM(B98:B99)</f>
        <v>60000000</v>
      </c>
      <c r="C97" s="670">
        <f t="shared" ref="C97:I97" si="132">SUM(C98:C99)</f>
        <v>0</v>
      </c>
      <c r="D97" s="670">
        <f t="shared" si="132"/>
        <v>0</v>
      </c>
      <c r="E97" s="670">
        <f t="shared" si="132"/>
        <v>60000000</v>
      </c>
      <c r="F97" s="670">
        <f t="shared" si="132"/>
        <v>0</v>
      </c>
      <c r="G97" s="670">
        <f t="shared" si="132"/>
        <v>0</v>
      </c>
      <c r="H97" s="670">
        <f t="shared" si="132"/>
        <v>0</v>
      </c>
      <c r="I97" s="670">
        <f t="shared" si="132"/>
        <v>0</v>
      </c>
      <c r="J97" s="670"/>
      <c r="K97" s="670">
        <f t="shared" ref="K97:M97" si="133">SUM(K98:K99)</f>
        <v>60000000</v>
      </c>
      <c r="L97" s="670">
        <f t="shared" si="133"/>
        <v>0</v>
      </c>
      <c r="M97" s="670">
        <f t="shared" si="133"/>
        <v>0</v>
      </c>
    </row>
    <row r="98" spans="1:13" s="668" customFormat="1" ht="36" customHeight="1">
      <c r="A98" s="669" t="s">
        <v>653</v>
      </c>
      <c r="B98" s="671">
        <v>50000000</v>
      </c>
      <c r="C98" s="670">
        <v>0</v>
      </c>
      <c r="D98" s="670">
        <v>0</v>
      </c>
      <c r="E98" s="670">
        <f t="shared" ref="E98:E99" si="134">+B98+D98</f>
        <v>50000000</v>
      </c>
      <c r="F98" s="670"/>
      <c r="G98" s="670"/>
      <c r="H98" s="670">
        <v>0</v>
      </c>
      <c r="I98" s="670">
        <f t="shared" ref="I98:I99" si="135">+H98</f>
        <v>0</v>
      </c>
      <c r="J98" s="670"/>
      <c r="K98" s="670">
        <f t="shared" ref="K98:K99" si="136">+E98-I98</f>
        <v>50000000</v>
      </c>
      <c r="L98" s="670"/>
      <c r="M98" s="670"/>
    </row>
    <row r="99" spans="1:13" s="668" customFormat="1" ht="36" customHeight="1">
      <c r="A99" s="672" t="s">
        <v>1124</v>
      </c>
      <c r="B99" s="671">
        <v>10000000</v>
      </c>
      <c r="C99" s="670">
        <v>0</v>
      </c>
      <c r="D99" s="670">
        <v>0</v>
      </c>
      <c r="E99" s="670">
        <f t="shared" si="134"/>
        <v>10000000</v>
      </c>
      <c r="F99" s="670"/>
      <c r="G99" s="670"/>
      <c r="H99" s="670">
        <v>0</v>
      </c>
      <c r="I99" s="670">
        <f t="shared" si="135"/>
        <v>0</v>
      </c>
      <c r="J99" s="670"/>
      <c r="K99" s="670">
        <f t="shared" si="136"/>
        <v>10000000</v>
      </c>
      <c r="L99" s="670"/>
      <c r="M99" s="670"/>
    </row>
    <row r="100" spans="1:13" s="668" customFormat="1" ht="36" customHeight="1">
      <c r="A100" s="669" t="s">
        <v>654</v>
      </c>
      <c r="B100" s="670">
        <f>SUM(B101:B106)</f>
        <v>372000000</v>
      </c>
      <c r="C100" s="670">
        <f t="shared" ref="C100:I100" si="137">SUM(C101:C106)</f>
        <v>0</v>
      </c>
      <c r="D100" s="670">
        <f t="shared" si="137"/>
        <v>0</v>
      </c>
      <c r="E100" s="670">
        <f t="shared" si="137"/>
        <v>372000000</v>
      </c>
      <c r="F100" s="670">
        <f t="shared" si="137"/>
        <v>0</v>
      </c>
      <c r="G100" s="670">
        <f t="shared" si="137"/>
        <v>0</v>
      </c>
      <c r="H100" s="670">
        <f t="shared" si="137"/>
        <v>191833000</v>
      </c>
      <c r="I100" s="670">
        <f t="shared" si="137"/>
        <v>191833000</v>
      </c>
      <c r="J100" s="670"/>
      <c r="K100" s="670">
        <f t="shared" ref="K100:M100" si="138">SUM(K101:K106)</f>
        <v>180167000</v>
      </c>
      <c r="L100" s="670">
        <f t="shared" si="138"/>
        <v>0</v>
      </c>
      <c r="M100" s="670">
        <f t="shared" si="138"/>
        <v>0</v>
      </c>
    </row>
    <row r="101" spans="1:13" s="668" customFormat="1" ht="36" customHeight="1">
      <c r="A101" s="669" t="s">
        <v>655</v>
      </c>
      <c r="B101" s="671">
        <v>50000000</v>
      </c>
      <c r="C101" s="670">
        <v>0</v>
      </c>
      <c r="D101" s="670">
        <v>0</v>
      </c>
      <c r="E101" s="670">
        <f t="shared" ref="E101:E106" si="139">+B101+D101</f>
        <v>50000000</v>
      </c>
      <c r="F101" s="670"/>
      <c r="G101" s="670"/>
      <c r="H101" s="671">
        <v>12963000</v>
      </c>
      <c r="I101" s="670">
        <f t="shared" ref="I101:I106" si="140">+H101</f>
        <v>12963000</v>
      </c>
      <c r="J101" s="670"/>
      <c r="K101" s="670">
        <f t="shared" ref="K101:K106" si="141">+E101-I101</f>
        <v>37037000</v>
      </c>
      <c r="L101" s="670"/>
      <c r="M101" s="670"/>
    </row>
    <row r="102" spans="1:13" s="668" customFormat="1" ht="36" customHeight="1">
      <c r="A102" s="669" t="s">
        <v>1125</v>
      </c>
      <c r="B102" s="671">
        <v>180000000</v>
      </c>
      <c r="C102" s="670">
        <v>0</v>
      </c>
      <c r="D102" s="670">
        <v>0</v>
      </c>
      <c r="E102" s="670">
        <f t="shared" si="139"/>
        <v>180000000</v>
      </c>
      <c r="F102" s="670"/>
      <c r="G102" s="670"/>
      <c r="H102" s="671">
        <v>87350000</v>
      </c>
      <c r="I102" s="670">
        <f t="shared" si="140"/>
        <v>87350000</v>
      </c>
      <c r="J102" s="670"/>
      <c r="K102" s="670">
        <f t="shared" si="141"/>
        <v>92650000</v>
      </c>
      <c r="L102" s="670"/>
      <c r="M102" s="670"/>
    </row>
    <row r="103" spans="1:13" s="668" customFormat="1" ht="19.5" customHeight="1">
      <c r="A103" s="669" t="s">
        <v>1126</v>
      </c>
      <c r="B103" s="671">
        <v>40000000</v>
      </c>
      <c r="C103" s="670">
        <v>0</v>
      </c>
      <c r="D103" s="670">
        <v>0</v>
      </c>
      <c r="E103" s="670">
        <f t="shared" si="139"/>
        <v>40000000</v>
      </c>
      <c r="F103" s="670"/>
      <c r="G103" s="670"/>
      <c r="H103" s="671">
        <v>15000000</v>
      </c>
      <c r="I103" s="670">
        <f t="shared" si="140"/>
        <v>15000000</v>
      </c>
      <c r="J103" s="670"/>
      <c r="K103" s="670">
        <f t="shared" si="141"/>
        <v>25000000</v>
      </c>
      <c r="L103" s="670"/>
      <c r="M103" s="670"/>
    </row>
    <row r="104" spans="1:13" s="668" customFormat="1" ht="19.5" customHeight="1">
      <c r="A104" s="669" t="s">
        <v>1127</v>
      </c>
      <c r="B104" s="671">
        <v>80000000</v>
      </c>
      <c r="C104" s="670">
        <v>0</v>
      </c>
      <c r="D104" s="670">
        <v>0</v>
      </c>
      <c r="E104" s="670">
        <f t="shared" si="139"/>
        <v>80000000</v>
      </c>
      <c r="F104" s="670"/>
      <c r="G104" s="670"/>
      <c r="H104" s="671">
        <v>69600000</v>
      </c>
      <c r="I104" s="670">
        <f t="shared" si="140"/>
        <v>69600000</v>
      </c>
      <c r="J104" s="670"/>
      <c r="K104" s="670">
        <f t="shared" si="141"/>
        <v>10400000</v>
      </c>
      <c r="L104" s="670"/>
      <c r="M104" s="670"/>
    </row>
    <row r="105" spans="1:13" s="668" customFormat="1" ht="19.5" customHeight="1">
      <c r="A105" s="669" t="s">
        <v>1128</v>
      </c>
      <c r="B105" s="671">
        <v>2000000</v>
      </c>
      <c r="C105" s="670">
        <v>0</v>
      </c>
      <c r="D105" s="670">
        <v>0</v>
      </c>
      <c r="E105" s="670">
        <f t="shared" si="139"/>
        <v>2000000</v>
      </c>
      <c r="F105" s="670"/>
      <c r="G105" s="670"/>
      <c r="H105" s="671">
        <v>0</v>
      </c>
      <c r="I105" s="670">
        <f t="shared" si="140"/>
        <v>0</v>
      </c>
      <c r="J105" s="670"/>
      <c r="K105" s="670">
        <f t="shared" si="141"/>
        <v>2000000</v>
      </c>
      <c r="L105" s="670"/>
      <c r="M105" s="670"/>
    </row>
    <row r="106" spans="1:13" s="668" customFormat="1" ht="19.5" customHeight="1">
      <c r="A106" s="669" t="s">
        <v>1129</v>
      </c>
      <c r="B106" s="671">
        <v>20000000</v>
      </c>
      <c r="C106" s="670">
        <v>0</v>
      </c>
      <c r="D106" s="670">
        <v>0</v>
      </c>
      <c r="E106" s="670">
        <f t="shared" si="139"/>
        <v>20000000</v>
      </c>
      <c r="F106" s="670"/>
      <c r="G106" s="670"/>
      <c r="H106" s="671">
        <v>6920000</v>
      </c>
      <c r="I106" s="670">
        <f t="shared" si="140"/>
        <v>6920000</v>
      </c>
      <c r="J106" s="670"/>
      <c r="K106" s="670">
        <f t="shared" si="141"/>
        <v>13080000</v>
      </c>
      <c r="L106" s="670"/>
      <c r="M106" s="670"/>
    </row>
    <row r="107" spans="1:13" s="668" customFormat="1" ht="19.5" customHeight="1">
      <c r="A107" s="669" t="s">
        <v>656</v>
      </c>
      <c r="B107" s="670">
        <f>SUM(B108:B110)</f>
        <v>64001000</v>
      </c>
      <c r="C107" s="670">
        <f t="shared" ref="C107:I107" si="142">SUM(C108:C110)</f>
        <v>0</v>
      </c>
      <c r="D107" s="670">
        <f t="shared" si="142"/>
        <v>0</v>
      </c>
      <c r="E107" s="670">
        <f t="shared" si="142"/>
        <v>64001000</v>
      </c>
      <c r="F107" s="670">
        <f t="shared" si="142"/>
        <v>0</v>
      </c>
      <c r="G107" s="670">
        <f t="shared" si="142"/>
        <v>0</v>
      </c>
      <c r="H107" s="670">
        <f t="shared" si="142"/>
        <v>23495104.300000001</v>
      </c>
      <c r="I107" s="670">
        <f t="shared" si="142"/>
        <v>23495104.300000001</v>
      </c>
      <c r="J107" s="670"/>
      <c r="K107" s="670">
        <f t="shared" ref="K107:M107" si="143">SUM(K108:K110)</f>
        <v>40505895.700000003</v>
      </c>
      <c r="L107" s="670">
        <f t="shared" si="143"/>
        <v>0</v>
      </c>
      <c r="M107" s="670">
        <f t="shared" si="143"/>
        <v>0</v>
      </c>
    </row>
    <row r="108" spans="1:13" s="668" customFormat="1" ht="19.5" customHeight="1">
      <c r="A108" s="669" t="s">
        <v>657</v>
      </c>
      <c r="B108" s="671">
        <v>50000000</v>
      </c>
      <c r="C108" s="670">
        <v>0</v>
      </c>
      <c r="D108" s="670">
        <v>0</v>
      </c>
      <c r="E108" s="670">
        <f t="shared" ref="E108:E110" si="144">+B108+D108</f>
        <v>50000000</v>
      </c>
      <c r="F108" s="670"/>
      <c r="G108" s="670"/>
      <c r="H108" s="671">
        <v>16823104.300000001</v>
      </c>
      <c r="I108" s="670">
        <f t="shared" ref="I108:I110" si="145">+H108</f>
        <v>16823104.300000001</v>
      </c>
      <c r="J108" s="670"/>
      <c r="K108" s="670">
        <f t="shared" ref="K108:K110" si="146">+E108-I108</f>
        <v>33176895.699999999</v>
      </c>
      <c r="L108" s="670"/>
      <c r="M108" s="670"/>
    </row>
    <row r="109" spans="1:13" s="668" customFormat="1" ht="36" customHeight="1">
      <c r="A109" s="669" t="s">
        <v>658</v>
      </c>
      <c r="B109" s="671">
        <v>14000000</v>
      </c>
      <c r="C109" s="670">
        <v>0</v>
      </c>
      <c r="D109" s="670">
        <v>0</v>
      </c>
      <c r="E109" s="670">
        <f t="shared" si="144"/>
        <v>14000000</v>
      </c>
      <c r="F109" s="670"/>
      <c r="G109" s="670"/>
      <c r="H109" s="671">
        <v>6672000</v>
      </c>
      <c r="I109" s="670">
        <f t="shared" si="145"/>
        <v>6672000</v>
      </c>
      <c r="J109" s="670"/>
      <c r="K109" s="670">
        <f t="shared" si="146"/>
        <v>7328000</v>
      </c>
      <c r="L109" s="670"/>
      <c r="M109" s="670"/>
    </row>
    <row r="110" spans="1:13" s="668" customFormat="1" ht="19.5" customHeight="1">
      <c r="A110" s="669" t="s">
        <v>659</v>
      </c>
      <c r="B110" s="671">
        <v>1000</v>
      </c>
      <c r="C110" s="670">
        <v>0</v>
      </c>
      <c r="D110" s="670">
        <v>0</v>
      </c>
      <c r="E110" s="670">
        <f t="shared" si="144"/>
        <v>1000</v>
      </c>
      <c r="F110" s="670"/>
      <c r="G110" s="670"/>
      <c r="H110" s="671">
        <v>0</v>
      </c>
      <c r="I110" s="670">
        <f t="shared" si="145"/>
        <v>0</v>
      </c>
      <c r="J110" s="670"/>
      <c r="K110" s="670">
        <f t="shared" si="146"/>
        <v>1000</v>
      </c>
      <c r="L110" s="670"/>
      <c r="M110" s="670"/>
    </row>
    <row r="111" spans="1:13" s="668" customFormat="1" ht="36" customHeight="1">
      <c r="A111" s="669" t="s">
        <v>660</v>
      </c>
      <c r="B111" s="670">
        <f>SUM(B112:B120)</f>
        <v>1764000000</v>
      </c>
      <c r="C111" s="670">
        <f t="shared" ref="C111:I111" si="147">SUM(C112:C120)</f>
        <v>0</v>
      </c>
      <c r="D111" s="670">
        <f t="shared" si="147"/>
        <v>0</v>
      </c>
      <c r="E111" s="670">
        <f t="shared" si="147"/>
        <v>1764000000</v>
      </c>
      <c r="F111" s="670">
        <f t="shared" si="147"/>
        <v>0</v>
      </c>
      <c r="G111" s="670">
        <f t="shared" si="147"/>
        <v>0</v>
      </c>
      <c r="H111" s="670">
        <f t="shared" si="147"/>
        <v>253442925.43000001</v>
      </c>
      <c r="I111" s="670">
        <f t="shared" si="147"/>
        <v>253442925.43000001</v>
      </c>
      <c r="J111" s="670"/>
      <c r="K111" s="670">
        <f t="shared" ref="K111:M111" si="148">SUM(K112:K120)</f>
        <v>1510557074.5699999</v>
      </c>
      <c r="L111" s="670">
        <f t="shared" si="148"/>
        <v>0</v>
      </c>
      <c r="M111" s="670">
        <f t="shared" si="148"/>
        <v>0</v>
      </c>
    </row>
    <row r="112" spans="1:13" s="668" customFormat="1" ht="19.5" customHeight="1">
      <c r="A112" s="669" t="s">
        <v>661</v>
      </c>
      <c r="B112" s="671">
        <v>100000000</v>
      </c>
      <c r="C112" s="670">
        <v>0</v>
      </c>
      <c r="D112" s="670">
        <v>0</v>
      </c>
      <c r="E112" s="670">
        <f t="shared" ref="E112:E120" si="149">+B112+D112</f>
        <v>100000000</v>
      </c>
      <c r="F112" s="670"/>
      <c r="G112" s="670"/>
      <c r="H112" s="671">
        <v>0</v>
      </c>
      <c r="I112" s="670">
        <f t="shared" ref="I112:I120" si="150">+H112</f>
        <v>0</v>
      </c>
      <c r="J112" s="670"/>
      <c r="K112" s="670">
        <f t="shared" ref="K112:K120" si="151">+E112-I112</f>
        <v>100000000</v>
      </c>
      <c r="L112" s="670"/>
      <c r="M112" s="670"/>
    </row>
    <row r="113" spans="1:13" s="668" customFormat="1" ht="36" customHeight="1">
      <c r="A113" s="669" t="s">
        <v>662</v>
      </c>
      <c r="B113" s="671">
        <v>500000000</v>
      </c>
      <c r="C113" s="670">
        <v>0</v>
      </c>
      <c r="D113" s="670">
        <v>0</v>
      </c>
      <c r="E113" s="670">
        <f t="shared" si="149"/>
        <v>500000000</v>
      </c>
      <c r="F113" s="670"/>
      <c r="G113" s="670"/>
      <c r="H113" s="671">
        <v>1880200</v>
      </c>
      <c r="I113" s="670">
        <f t="shared" si="150"/>
        <v>1880200</v>
      </c>
      <c r="J113" s="670"/>
      <c r="K113" s="670">
        <f t="shared" si="151"/>
        <v>498119800</v>
      </c>
      <c r="L113" s="670"/>
      <c r="M113" s="670"/>
    </row>
    <row r="114" spans="1:13" s="668" customFormat="1" ht="36" customHeight="1">
      <c r="A114" s="669" t="s">
        <v>663</v>
      </c>
      <c r="B114" s="671">
        <v>340000000</v>
      </c>
      <c r="C114" s="670">
        <v>0</v>
      </c>
      <c r="D114" s="670">
        <v>0</v>
      </c>
      <c r="E114" s="670">
        <f t="shared" si="149"/>
        <v>340000000</v>
      </c>
      <c r="F114" s="670"/>
      <c r="G114" s="670"/>
      <c r="H114" s="671">
        <v>25521905</v>
      </c>
      <c r="I114" s="670">
        <f t="shared" si="150"/>
        <v>25521905</v>
      </c>
      <c r="J114" s="670"/>
      <c r="K114" s="670">
        <f t="shared" si="151"/>
        <v>314478095</v>
      </c>
      <c r="L114" s="670"/>
      <c r="M114" s="670"/>
    </row>
    <row r="115" spans="1:13" s="668" customFormat="1" ht="19.5" customHeight="1">
      <c r="A115" s="669" t="s">
        <v>664</v>
      </c>
      <c r="B115" s="671">
        <v>260000000</v>
      </c>
      <c r="C115" s="670">
        <v>0</v>
      </c>
      <c r="D115" s="670">
        <v>0</v>
      </c>
      <c r="E115" s="670">
        <f t="shared" si="149"/>
        <v>260000000</v>
      </c>
      <c r="F115" s="670"/>
      <c r="G115" s="670"/>
      <c r="H115" s="671">
        <v>0</v>
      </c>
      <c r="I115" s="670">
        <f t="shared" si="150"/>
        <v>0</v>
      </c>
      <c r="J115" s="670"/>
      <c r="K115" s="670">
        <f t="shared" si="151"/>
        <v>260000000</v>
      </c>
      <c r="L115" s="670"/>
      <c r="M115" s="670"/>
    </row>
    <row r="116" spans="1:13" s="668" customFormat="1" ht="19.5" customHeight="1">
      <c r="A116" s="669" t="s">
        <v>665</v>
      </c>
      <c r="B116" s="671">
        <v>40000000</v>
      </c>
      <c r="C116" s="670">
        <v>0</v>
      </c>
      <c r="D116" s="670">
        <v>0</v>
      </c>
      <c r="E116" s="670">
        <f t="shared" si="149"/>
        <v>40000000</v>
      </c>
      <c r="F116" s="670"/>
      <c r="G116" s="670"/>
      <c r="H116" s="671">
        <v>200000</v>
      </c>
      <c r="I116" s="670">
        <f t="shared" si="150"/>
        <v>200000</v>
      </c>
      <c r="J116" s="670"/>
      <c r="K116" s="670">
        <f t="shared" si="151"/>
        <v>39800000</v>
      </c>
      <c r="L116" s="670"/>
      <c r="M116" s="670"/>
    </row>
    <row r="117" spans="1:13" s="668" customFormat="1" ht="19.5" customHeight="1">
      <c r="A117" s="669" t="s">
        <v>666</v>
      </c>
      <c r="B117" s="671">
        <v>200000000</v>
      </c>
      <c r="C117" s="670">
        <v>0</v>
      </c>
      <c r="D117" s="670">
        <v>0</v>
      </c>
      <c r="E117" s="670">
        <f t="shared" si="149"/>
        <v>200000000</v>
      </c>
      <c r="F117" s="670"/>
      <c r="G117" s="670"/>
      <c r="H117" s="671">
        <v>112974042</v>
      </c>
      <c r="I117" s="670">
        <f t="shared" si="150"/>
        <v>112974042</v>
      </c>
      <c r="J117" s="670"/>
      <c r="K117" s="670">
        <f t="shared" si="151"/>
        <v>87025958</v>
      </c>
      <c r="L117" s="670"/>
      <c r="M117" s="670"/>
    </row>
    <row r="118" spans="1:13" s="668" customFormat="1" ht="19.5" customHeight="1">
      <c r="A118" s="669" t="s">
        <v>667</v>
      </c>
      <c r="B118" s="671">
        <v>110000000</v>
      </c>
      <c r="C118" s="670">
        <v>0</v>
      </c>
      <c r="D118" s="670">
        <v>0</v>
      </c>
      <c r="E118" s="670">
        <f t="shared" si="149"/>
        <v>110000000</v>
      </c>
      <c r="F118" s="670"/>
      <c r="G118" s="670"/>
      <c r="H118" s="671">
        <v>27010967.43</v>
      </c>
      <c r="I118" s="670">
        <f t="shared" si="150"/>
        <v>27010967.43</v>
      </c>
      <c r="J118" s="670"/>
      <c r="K118" s="670">
        <f t="shared" si="151"/>
        <v>82989032.569999993</v>
      </c>
      <c r="L118" s="670"/>
      <c r="M118" s="670"/>
    </row>
    <row r="119" spans="1:13" s="668" customFormat="1" ht="36" customHeight="1">
      <c r="A119" s="669" t="s">
        <v>668</v>
      </c>
      <c r="B119" s="671">
        <v>114000000</v>
      </c>
      <c r="C119" s="670">
        <v>0</v>
      </c>
      <c r="D119" s="670">
        <v>0</v>
      </c>
      <c r="E119" s="670">
        <f t="shared" si="149"/>
        <v>114000000</v>
      </c>
      <c r="F119" s="670"/>
      <c r="G119" s="670"/>
      <c r="H119" s="671">
        <v>30451211</v>
      </c>
      <c r="I119" s="670">
        <f t="shared" si="150"/>
        <v>30451211</v>
      </c>
      <c r="J119" s="670"/>
      <c r="K119" s="670">
        <f t="shared" si="151"/>
        <v>83548789</v>
      </c>
      <c r="L119" s="670"/>
      <c r="M119" s="670"/>
    </row>
    <row r="120" spans="1:13" s="668" customFormat="1" ht="36" customHeight="1">
      <c r="A120" s="669" t="s">
        <v>669</v>
      </c>
      <c r="B120" s="671">
        <v>100000000</v>
      </c>
      <c r="C120" s="670">
        <v>0</v>
      </c>
      <c r="D120" s="670">
        <v>0</v>
      </c>
      <c r="E120" s="670">
        <f t="shared" si="149"/>
        <v>100000000</v>
      </c>
      <c r="F120" s="670"/>
      <c r="G120" s="670"/>
      <c r="H120" s="671">
        <v>55404600</v>
      </c>
      <c r="I120" s="670">
        <f t="shared" si="150"/>
        <v>55404600</v>
      </c>
      <c r="J120" s="670"/>
      <c r="K120" s="670">
        <f t="shared" si="151"/>
        <v>44595400</v>
      </c>
      <c r="L120" s="670"/>
      <c r="M120" s="670"/>
    </row>
    <row r="121" spans="1:13" s="668" customFormat="1" ht="36" customHeight="1">
      <c r="A121" s="669" t="s">
        <v>670</v>
      </c>
      <c r="B121" s="670">
        <f>SUM(B122:B124)</f>
        <v>90000000</v>
      </c>
      <c r="C121" s="670">
        <f t="shared" ref="C121:I121" si="152">SUM(C122:C124)</f>
        <v>0</v>
      </c>
      <c r="D121" s="670">
        <f t="shared" si="152"/>
        <v>0</v>
      </c>
      <c r="E121" s="670">
        <f t="shared" si="152"/>
        <v>90000000</v>
      </c>
      <c r="F121" s="670">
        <f t="shared" si="152"/>
        <v>0</v>
      </c>
      <c r="G121" s="670">
        <f t="shared" si="152"/>
        <v>0</v>
      </c>
      <c r="H121" s="670">
        <f t="shared" si="152"/>
        <v>0</v>
      </c>
      <c r="I121" s="670">
        <f t="shared" si="152"/>
        <v>0</v>
      </c>
      <c r="J121" s="670"/>
      <c r="K121" s="670">
        <f t="shared" ref="K121:M121" si="153">SUM(K122:K124)</f>
        <v>90000000</v>
      </c>
      <c r="L121" s="670">
        <f t="shared" si="153"/>
        <v>0</v>
      </c>
      <c r="M121" s="670">
        <f t="shared" si="153"/>
        <v>0</v>
      </c>
    </row>
    <row r="122" spans="1:13" s="668" customFormat="1" ht="36" customHeight="1">
      <c r="A122" s="669" t="s">
        <v>671</v>
      </c>
      <c r="B122" s="671">
        <v>20000000</v>
      </c>
      <c r="C122" s="670">
        <v>0</v>
      </c>
      <c r="D122" s="670">
        <v>0</v>
      </c>
      <c r="E122" s="670">
        <f t="shared" ref="E122:E124" si="154">+B122+D122</f>
        <v>20000000</v>
      </c>
      <c r="F122" s="670"/>
      <c r="G122" s="670"/>
      <c r="H122" s="670">
        <v>0</v>
      </c>
      <c r="I122" s="670">
        <f t="shared" ref="I122:I124" si="155">+H122</f>
        <v>0</v>
      </c>
      <c r="J122" s="670"/>
      <c r="K122" s="670">
        <f t="shared" ref="K122:K124" si="156">+E122-I122</f>
        <v>20000000</v>
      </c>
      <c r="L122" s="670"/>
      <c r="M122" s="670"/>
    </row>
    <row r="123" spans="1:13" s="668" customFormat="1" ht="19.5" customHeight="1">
      <c r="A123" s="669" t="s">
        <v>672</v>
      </c>
      <c r="B123" s="671">
        <v>30000000</v>
      </c>
      <c r="C123" s="670">
        <v>0</v>
      </c>
      <c r="D123" s="670">
        <v>0</v>
      </c>
      <c r="E123" s="670">
        <f t="shared" si="154"/>
        <v>30000000</v>
      </c>
      <c r="F123" s="670"/>
      <c r="G123" s="670"/>
      <c r="H123" s="670">
        <v>0</v>
      </c>
      <c r="I123" s="670">
        <f t="shared" si="155"/>
        <v>0</v>
      </c>
      <c r="J123" s="670"/>
      <c r="K123" s="670">
        <f t="shared" si="156"/>
        <v>30000000</v>
      </c>
      <c r="L123" s="670"/>
      <c r="M123" s="670"/>
    </row>
    <row r="124" spans="1:13" s="668" customFormat="1" ht="19.5" customHeight="1">
      <c r="A124" s="669" t="s">
        <v>1130</v>
      </c>
      <c r="B124" s="671">
        <v>40000000</v>
      </c>
      <c r="C124" s="670">
        <v>0</v>
      </c>
      <c r="D124" s="670">
        <v>0</v>
      </c>
      <c r="E124" s="670">
        <f t="shared" si="154"/>
        <v>40000000</v>
      </c>
      <c r="F124" s="670"/>
      <c r="G124" s="670"/>
      <c r="H124" s="670">
        <v>0</v>
      </c>
      <c r="I124" s="670">
        <f t="shared" si="155"/>
        <v>0</v>
      </c>
      <c r="J124" s="670"/>
      <c r="K124" s="670">
        <f t="shared" si="156"/>
        <v>40000000</v>
      </c>
      <c r="L124" s="670"/>
      <c r="M124" s="670"/>
    </row>
    <row r="125" spans="1:13" s="668" customFormat="1" ht="36" customHeight="1">
      <c r="A125" s="669" t="s">
        <v>673</v>
      </c>
      <c r="B125" s="670">
        <f>+B126</f>
        <v>180000000</v>
      </c>
      <c r="C125" s="670">
        <f t="shared" ref="C125:I125" si="157">+C126</f>
        <v>0</v>
      </c>
      <c r="D125" s="670">
        <f t="shared" si="157"/>
        <v>0</v>
      </c>
      <c r="E125" s="670">
        <f t="shared" si="157"/>
        <v>180000000</v>
      </c>
      <c r="F125" s="670">
        <f t="shared" si="157"/>
        <v>0</v>
      </c>
      <c r="G125" s="670">
        <f t="shared" si="157"/>
        <v>0</v>
      </c>
      <c r="H125" s="670">
        <f t="shared" si="157"/>
        <v>20387592</v>
      </c>
      <c r="I125" s="670">
        <f t="shared" si="157"/>
        <v>20387592</v>
      </c>
      <c r="J125" s="670"/>
      <c r="K125" s="670">
        <f t="shared" ref="K125:M125" si="158">+K126</f>
        <v>159612408</v>
      </c>
      <c r="L125" s="670">
        <f t="shared" si="158"/>
        <v>0</v>
      </c>
      <c r="M125" s="670">
        <f t="shared" si="158"/>
        <v>0</v>
      </c>
    </row>
    <row r="126" spans="1:13" s="668" customFormat="1" ht="36" customHeight="1">
      <c r="A126" s="669" t="s">
        <v>674</v>
      </c>
      <c r="B126" s="671">
        <v>180000000</v>
      </c>
      <c r="C126" s="670">
        <v>0</v>
      </c>
      <c r="D126" s="670">
        <v>0</v>
      </c>
      <c r="E126" s="670">
        <f t="shared" ref="E126" si="159">+B126+D126</f>
        <v>180000000</v>
      </c>
      <c r="F126" s="670"/>
      <c r="G126" s="670"/>
      <c r="H126" s="671">
        <v>20387592</v>
      </c>
      <c r="I126" s="670">
        <f t="shared" ref="I126" si="160">+H126</f>
        <v>20387592</v>
      </c>
      <c r="J126" s="670"/>
      <c r="K126" s="670">
        <f t="shared" ref="K126" si="161">+E126-I126</f>
        <v>159612408</v>
      </c>
      <c r="L126" s="670"/>
      <c r="M126" s="670"/>
    </row>
    <row r="127" spans="1:13" s="668" customFormat="1" ht="36" customHeight="1">
      <c r="A127" s="669" t="s">
        <v>675</v>
      </c>
      <c r="B127" s="670">
        <f>+B128+B133</f>
        <v>2215001000</v>
      </c>
      <c r="C127" s="670">
        <f t="shared" ref="C127:I127" si="162">+C128+C133</f>
        <v>0</v>
      </c>
      <c r="D127" s="670">
        <f t="shared" si="162"/>
        <v>0</v>
      </c>
      <c r="E127" s="670">
        <f t="shared" si="162"/>
        <v>2215001000</v>
      </c>
      <c r="F127" s="670">
        <f t="shared" si="162"/>
        <v>0</v>
      </c>
      <c r="G127" s="670">
        <f t="shared" si="162"/>
        <v>0</v>
      </c>
      <c r="H127" s="670">
        <f t="shared" si="162"/>
        <v>143877538</v>
      </c>
      <c r="I127" s="670">
        <f t="shared" si="162"/>
        <v>143877538</v>
      </c>
      <c r="J127" s="670"/>
      <c r="K127" s="670">
        <f t="shared" ref="K127:M127" si="163">+K128+K133</f>
        <v>2071123462</v>
      </c>
      <c r="L127" s="670">
        <f t="shared" si="163"/>
        <v>0</v>
      </c>
      <c r="M127" s="670">
        <f t="shared" si="163"/>
        <v>0</v>
      </c>
    </row>
    <row r="128" spans="1:13" s="668" customFormat="1" ht="19.5" customHeight="1">
      <c r="A128" s="669" t="s">
        <v>676</v>
      </c>
      <c r="B128" s="670">
        <f>SUM(B129:B132)</f>
        <v>1910000000</v>
      </c>
      <c r="C128" s="670">
        <f t="shared" ref="C128:I128" si="164">SUM(C129:C132)</f>
        <v>0</v>
      </c>
      <c r="D128" s="670">
        <f t="shared" si="164"/>
        <v>0</v>
      </c>
      <c r="E128" s="670">
        <f t="shared" si="164"/>
        <v>1910000000</v>
      </c>
      <c r="F128" s="670">
        <f t="shared" si="164"/>
        <v>0</v>
      </c>
      <c r="G128" s="670">
        <f t="shared" si="164"/>
        <v>0</v>
      </c>
      <c r="H128" s="670">
        <f t="shared" si="164"/>
        <v>38877538</v>
      </c>
      <c r="I128" s="670">
        <f t="shared" si="164"/>
        <v>38877538</v>
      </c>
      <c r="J128" s="670"/>
      <c r="K128" s="670">
        <f t="shared" ref="K128:M128" si="165">SUM(K129:K132)</f>
        <v>1871122462</v>
      </c>
      <c r="L128" s="670">
        <f t="shared" si="165"/>
        <v>0</v>
      </c>
      <c r="M128" s="670">
        <f t="shared" si="165"/>
        <v>0</v>
      </c>
    </row>
    <row r="129" spans="1:13" s="668" customFormat="1" ht="36" customHeight="1">
      <c r="A129" s="669" t="s">
        <v>677</v>
      </c>
      <c r="B129" s="671">
        <v>1200000000</v>
      </c>
      <c r="C129" s="670">
        <v>0</v>
      </c>
      <c r="D129" s="670">
        <v>0</v>
      </c>
      <c r="E129" s="670">
        <f t="shared" ref="E129:E132" si="166">+B129+D129</f>
        <v>1200000000</v>
      </c>
      <c r="F129" s="670"/>
      <c r="G129" s="670"/>
      <c r="H129" s="671">
        <v>12130600</v>
      </c>
      <c r="I129" s="670">
        <f t="shared" ref="I129:I132" si="167">+H129</f>
        <v>12130600</v>
      </c>
      <c r="J129" s="670"/>
      <c r="K129" s="670">
        <f t="shared" ref="K129:K132" si="168">+E129-I129</f>
        <v>1187869400</v>
      </c>
      <c r="L129" s="670"/>
      <c r="M129" s="670"/>
    </row>
    <row r="130" spans="1:13" s="668" customFormat="1" ht="19.5" customHeight="1">
      <c r="A130" s="669" t="s">
        <v>678</v>
      </c>
      <c r="B130" s="671">
        <v>50000000</v>
      </c>
      <c r="C130" s="670">
        <v>0</v>
      </c>
      <c r="D130" s="670">
        <v>0</v>
      </c>
      <c r="E130" s="670">
        <f t="shared" si="166"/>
        <v>50000000</v>
      </c>
      <c r="F130" s="670"/>
      <c r="G130" s="670"/>
      <c r="H130" s="671">
        <v>5746880</v>
      </c>
      <c r="I130" s="670">
        <f t="shared" si="167"/>
        <v>5746880</v>
      </c>
      <c r="J130" s="670"/>
      <c r="K130" s="670">
        <f t="shared" si="168"/>
        <v>44253120</v>
      </c>
      <c r="L130" s="670"/>
      <c r="M130" s="670"/>
    </row>
    <row r="131" spans="1:13" s="668" customFormat="1" ht="36" customHeight="1">
      <c r="A131" s="669" t="s">
        <v>679</v>
      </c>
      <c r="B131" s="671">
        <v>500000000</v>
      </c>
      <c r="C131" s="670">
        <v>0</v>
      </c>
      <c r="D131" s="670">
        <v>0</v>
      </c>
      <c r="E131" s="670">
        <f t="shared" si="166"/>
        <v>500000000</v>
      </c>
      <c r="F131" s="670"/>
      <c r="G131" s="670"/>
      <c r="H131" s="671">
        <v>21000058</v>
      </c>
      <c r="I131" s="670">
        <f t="shared" si="167"/>
        <v>21000058</v>
      </c>
      <c r="J131" s="670"/>
      <c r="K131" s="670">
        <f t="shared" si="168"/>
        <v>478999942</v>
      </c>
      <c r="L131" s="670"/>
      <c r="M131" s="670"/>
    </row>
    <row r="132" spans="1:13" s="668" customFormat="1" ht="19.5" customHeight="1">
      <c r="A132" s="669" t="s">
        <v>680</v>
      </c>
      <c r="B132" s="671">
        <v>160000000</v>
      </c>
      <c r="C132" s="670">
        <v>0</v>
      </c>
      <c r="D132" s="670">
        <v>0</v>
      </c>
      <c r="E132" s="670">
        <f t="shared" si="166"/>
        <v>160000000</v>
      </c>
      <c r="F132" s="670"/>
      <c r="G132" s="670"/>
      <c r="H132" s="671">
        <v>0</v>
      </c>
      <c r="I132" s="670">
        <f t="shared" si="167"/>
        <v>0</v>
      </c>
      <c r="J132" s="670"/>
      <c r="K132" s="670">
        <f t="shared" si="168"/>
        <v>160000000</v>
      </c>
      <c r="L132" s="670"/>
      <c r="M132" s="670"/>
    </row>
    <row r="133" spans="1:13" s="668" customFormat="1" ht="19.5" customHeight="1">
      <c r="A133" s="669" t="s">
        <v>681</v>
      </c>
      <c r="B133" s="670">
        <f>SUM(B134:B137)</f>
        <v>305001000</v>
      </c>
      <c r="C133" s="670">
        <f t="shared" ref="C133:I133" si="169">SUM(C134:C137)</f>
        <v>0</v>
      </c>
      <c r="D133" s="670">
        <f t="shared" si="169"/>
        <v>0</v>
      </c>
      <c r="E133" s="670">
        <f t="shared" si="169"/>
        <v>305001000</v>
      </c>
      <c r="F133" s="670">
        <f t="shared" si="169"/>
        <v>0</v>
      </c>
      <c r="G133" s="670">
        <f t="shared" si="169"/>
        <v>0</v>
      </c>
      <c r="H133" s="670">
        <f t="shared" si="169"/>
        <v>105000000</v>
      </c>
      <c r="I133" s="670">
        <f t="shared" si="169"/>
        <v>105000000</v>
      </c>
      <c r="J133" s="670"/>
      <c r="K133" s="670">
        <f t="shared" ref="K133:M133" si="170">SUM(K134:K137)</f>
        <v>200001000</v>
      </c>
      <c r="L133" s="670">
        <f t="shared" si="170"/>
        <v>0</v>
      </c>
      <c r="M133" s="670">
        <f t="shared" si="170"/>
        <v>0</v>
      </c>
    </row>
    <row r="134" spans="1:13" s="668" customFormat="1" ht="36" customHeight="1">
      <c r="A134" s="669" t="s">
        <v>682</v>
      </c>
      <c r="B134" s="671">
        <v>105000000</v>
      </c>
      <c r="C134" s="670">
        <v>0</v>
      </c>
      <c r="D134" s="670">
        <v>0</v>
      </c>
      <c r="E134" s="670">
        <f t="shared" ref="E134:E137" si="171">+B134+D134</f>
        <v>105000000</v>
      </c>
      <c r="F134" s="670"/>
      <c r="G134" s="670"/>
      <c r="H134" s="671">
        <v>105000000</v>
      </c>
      <c r="I134" s="670">
        <f t="shared" ref="I134:I137" si="172">+H134</f>
        <v>105000000</v>
      </c>
      <c r="J134" s="670"/>
      <c r="K134" s="670">
        <f t="shared" ref="K134:K137" si="173">+E134-I134</f>
        <v>0</v>
      </c>
      <c r="L134" s="670"/>
      <c r="M134" s="670"/>
    </row>
    <row r="135" spans="1:13" s="668" customFormat="1" ht="19.5" customHeight="1">
      <c r="A135" s="669" t="s">
        <v>683</v>
      </c>
      <c r="B135" s="671">
        <v>1000</v>
      </c>
      <c r="C135" s="670">
        <v>0</v>
      </c>
      <c r="D135" s="670">
        <v>0</v>
      </c>
      <c r="E135" s="670">
        <f t="shared" si="171"/>
        <v>1000</v>
      </c>
      <c r="F135" s="670"/>
      <c r="G135" s="670"/>
      <c r="H135" s="671">
        <v>0</v>
      </c>
      <c r="I135" s="670">
        <f t="shared" si="172"/>
        <v>0</v>
      </c>
      <c r="J135" s="670"/>
      <c r="K135" s="670">
        <f t="shared" si="173"/>
        <v>1000</v>
      </c>
      <c r="L135" s="670"/>
      <c r="M135" s="670"/>
    </row>
    <row r="136" spans="1:13" s="668" customFormat="1" ht="19.5" customHeight="1">
      <c r="A136" s="669" t="s">
        <v>684</v>
      </c>
      <c r="B136" s="671">
        <v>100000000</v>
      </c>
      <c r="C136" s="670">
        <v>0</v>
      </c>
      <c r="D136" s="670">
        <v>0</v>
      </c>
      <c r="E136" s="670">
        <f t="shared" si="171"/>
        <v>100000000</v>
      </c>
      <c r="F136" s="670"/>
      <c r="G136" s="670"/>
      <c r="H136" s="671">
        <v>0</v>
      </c>
      <c r="I136" s="670">
        <f t="shared" si="172"/>
        <v>0</v>
      </c>
      <c r="J136" s="670"/>
      <c r="K136" s="670">
        <f t="shared" si="173"/>
        <v>100000000</v>
      </c>
      <c r="L136" s="670"/>
      <c r="M136" s="670"/>
    </row>
    <row r="137" spans="1:13" s="668" customFormat="1" ht="19.5" customHeight="1">
      <c r="A137" s="669" t="s">
        <v>685</v>
      </c>
      <c r="B137" s="671">
        <v>100000000</v>
      </c>
      <c r="C137" s="670">
        <v>0</v>
      </c>
      <c r="D137" s="670">
        <v>0</v>
      </c>
      <c r="E137" s="670">
        <f t="shared" si="171"/>
        <v>100000000</v>
      </c>
      <c r="F137" s="670"/>
      <c r="G137" s="670"/>
      <c r="H137" s="671">
        <v>0</v>
      </c>
      <c r="I137" s="670">
        <f t="shared" si="172"/>
        <v>0</v>
      </c>
      <c r="J137" s="670"/>
      <c r="K137" s="670">
        <f t="shared" si="173"/>
        <v>100000000</v>
      </c>
      <c r="L137" s="670"/>
      <c r="M137" s="670"/>
    </row>
    <row r="138" spans="1:13" s="668" customFormat="1" ht="18" customHeight="1">
      <c r="A138" s="669" t="s">
        <v>1131</v>
      </c>
      <c r="B138" s="671">
        <f>+B139</f>
        <v>6125064005.7799997</v>
      </c>
      <c r="C138" s="671">
        <f t="shared" ref="C138:I140" si="174">+C139</f>
        <v>0</v>
      </c>
      <c r="D138" s="671">
        <f t="shared" si="174"/>
        <v>0</v>
      </c>
      <c r="E138" s="671">
        <f t="shared" si="174"/>
        <v>6125064005.7799997</v>
      </c>
      <c r="F138" s="671">
        <f t="shared" si="174"/>
        <v>0</v>
      </c>
      <c r="G138" s="671">
        <f t="shared" si="174"/>
        <v>0</v>
      </c>
      <c r="H138" s="671">
        <f t="shared" si="174"/>
        <v>1422438994</v>
      </c>
      <c r="I138" s="671">
        <f t="shared" si="174"/>
        <v>1422438994</v>
      </c>
      <c r="J138" s="673"/>
      <c r="K138" s="671">
        <f t="shared" ref="K138:M140" si="175">+K139</f>
        <v>4702625011.7799997</v>
      </c>
      <c r="L138" s="671">
        <f t="shared" si="175"/>
        <v>0</v>
      </c>
      <c r="M138" s="671">
        <f t="shared" si="175"/>
        <v>0</v>
      </c>
    </row>
    <row r="139" spans="1:13" s="668" customFormat="1" ht="18" customHeight="1">
      <c r="A139" s="669" t="s">
        <v>1132</v>
      </c>
      <c r="B139" s="671">
        <f>+B140</f>
        <v>6125064005.7799997</v>
      </c>
      <c r="C139" s="671">
        <f t="shared" si="174"/>
        <v>0</v>
      </c>
      <c r="D139" s="671">
        <f t="shared" si="174"/>
        <v>0</v>
      </c>
      <c r="E139" s="671">
        <f t="shared" si="174"/>
        <v>6125064005.7799997</v>
      </c>
      <c r="F139" s="671">
        <f t="shared" si="174"/>
        <v>0</v>
      </c>
      <c r="G139" s="671">
        <f t="shared" si="174"/>
        <v>0</v>
      </c>
      <c r="H139" s="671">
        <f t="shared" si="174"/>
        <v>1422438994</v>
      </c>
      <c r="I139" s="671">
        <f t="shared" si="174"/>
        <v>1422438994</v>
      </c>
      <c r="J139" s="673"/>
      <c r="K139" s="671">
        <f t="shared" si="175"/>
        <v>4702625011.7799997</v>
      </c>
      <c r="L139" s="671">
        <f t="shared" si="175"/>
        <v>0</v>
      </c>
      <c r="M139" s="671">
        <f t="shared" si="175"/>
        <v>0</v>
      </c>
    </row>
    <row r="140" spans="1:13" s="668" customFormat="1" ht="18" customHeight="1">
      <c r="A140" s="669" t="s">
        <v>1133</v>
      </c>
      <c r="B140" s="671">
        <f>+B141</f>
        <v>6125064005.7799997</v>
      </c>
      <c r="C140" s="671">
        <f t="shared" si="174"/>
        <v>0</v>
      </c>
      <c r="D140" s="671">
        <f t="shared" si="174"/>
        <v>0</v>
      </c>
      <c r="E140" s="671">
        <f t="shared" si="174"/>
        <v>6125064005.7799997</v>
      </c>
      <c r="F140" s="671">
        <f t="shared" si="174"/>
        <v>0</v>
      </c>
      <c r="G140" s="671">
        <f t="shared" si="174"/>
        <v>0</v>
      </c>
      <c r="H140" s="671">
        <f t="shared" si="174"/>
        <v>1422438994</v>
      </c>
      <c r="I140" s="671">
        <f t="shared" si="174"/>
        <v>1422438994</v>
      </c>
      <c r="J140" s="673"/>
      <c r="K140" s="671">
        <f t="shared" si="175"/>
        <v>4702625011.7799997</v>
      </c>
      <c r="L140" s="671">
        <f t="shared" si="175"/>
        <v>0</v>
      </c>
      <c r="M140" s="671">
        <f t="shared" si="175"/>
        <v>0</v>
      </c>
    </row>
    <row r="141" spans="1:13" s="668" customFormat="1" ht="18" customHeight="1">
      <c r="A141" s="669" t="s">
        <v>1134</v>
      </c>
      <c r="B141" s="671">
        <f>+B142+B146</f>
        <v>6125064005.7799997</v>
      </c>
      <c r="C141" s="671">
        <f t="shared" ref="C141:I141" si="176">+C142+C146</f>
        <v>0</v>
      </c>
      <c r="D141" s="671">
        <f t="shared" si="176"/>
        <v>0</v>
      </c>
      <c r="E141" s="671">
        <f t="shared" si="176"/>
        <v>6125064005.7799997</v>
      </c>
      <c r="F141" s="671">
        <f t="shared" si="176"/>
        <v>0</v>
      </c>
      <c r="G141" s="671">
        <f t="shared" si="176"/>
        <v>0</v>
      </c>
      <c r="H141" s="671">
        <f t="shared" si="176"/>
        <v>1422438994</v>
      </c>
      <c r="I141" s="671">
        <f t="shared" si="176"/>
        <v>1422438994</v>
      </c>
      <c r="J141" s="673"/>
      <c r="K141" s="671">
        <f t="shared" ref="K141:M141" si="177">+K142+K146</f>
        <v>4702625011.7799997</v>
      </c>
      <c r="L141" s="671">
        <f t="shared" si="177"/>
        <v>0</v>
      </c>
      <c r="M141" s="671">
        <f t="shared" si="177"/>
        <v>0</v>
      </c>
    </row>
    <row r="142" spans="1:13" s="668" customFormat="1" ht="18" customHeight="1">
      <c r="A142" s="669" t="s">
        <v>1135</v>
      </c>
      <c r="B142" s="671">
        <f>+B143</f>
        <v>6023064005.7799997</v>
      </c>
      <c r="C142" s="671">
        <f t="shared" ref="C142:I142" si="178">+C143</f>
        <v>0</v>
      </c>
      <c r="D142" s="671">
        <f t="shared" si="178"/>
        <v>0</v>
      </c>
      <c r="E142" s="671">
        <f t="shared" si="178"/>
        <v>6023064005.7799997</v>
      </c>
      <c r="F142" s="671">
        <f t="shared" si="178"/>
        <v>0</v>
      </c>
      <c r="G142" s="671">
        <f t="shared" si="178"/>
        <v>0</v>
      </c>
      <c r="H142" s="671">
        <f t="shared" si="178"/>
        <v>1367799308</v>
      </c>
      <c r="I142" s="671">
        <f t="shared" si="178"/>
        <v>1367799308</v>
      </c>
      <c r="J142" s="673"/>
      <c r="K142" s="671">
        <f t="shared" ref="K142:M142" si="179">+K143</f>
        <v>4655264697.7799997</v>
      </c>
      <c r="L142" s="671">
        <f t="shared" si="179"/>
        <v>0</v>
      </c>
      <c r="M142" s="671">
        <f t="shared" si="179"/>
        <v>0</v>
      </c>
    </row>
    <row r="143" spans="1:13" s="668" customFormat="1" ht="18" customHeight="1">
      <c r="A143" s="669" t="s">
        <v>1136</v>
      </c>
      <c r="B143" s="671">
        <f>+B144+B145</f>
        <v>6023064005.7799997</v>
      </c>
      <c r="C143" s="671">
        <f t="shared" ref="C143:I143" si="180">+C144+C145</f>
        <v>0</v>
      </c>
      <c r="D143" s="671">
        <f t="shared" si="180"/>
        <v>0</v>
      </c>
      <c r="E143" s="671">
        <f t="shared" si="180"/>
        <v>6023064005.7799997</v>
      </c>
      <c r="F143" s="671">
        <f t="shared" si="180"/>
        <v>0</v>
      </c>
      <c r="G143" s="671">
        <f t="shared" si="180"/>
        <v>0</v>
      </c>
      <c r="H143" s="671">
        <f t="shared" si="180"/>
        <v>1367799308</v>
      </c>
      <c r="I143" s="671">
        <f t="shared" si="180"/>
        <v>1367799308</v>
      </c>
      <c r="J143" s="673"/>
      <c r="K143" s="671">
        <f t="shared" ref="K143:M143" si="181">+K144+K145</f>
        <v>4655264697.7799997</v>
      </c>
      <c r="L143" s="671">
        <f t="shared" si="181"/>
        <v>0</v>
      </c>
      <c r="M143" s="671">
        <f t="shared" si="181"/>
        <v>0</v>
      </c>
    </row>
    <row r="144" spans="1:13" s="668" customFormat="1" ht="18" customHeight="1">
      <c r="A144" s="669" t="s">
        <v>1137</v>
      </c>
      <c r="B144" s="671">
        <v>5843064005.7799997</v>
      </c>
      <c r="C144" s="670">
        <v>0</v>
      </c>
      <c r="D144" s="670">
        <v>0</v>
      </c>
      <c r="E144" s="670">
        <f t="shared" ref="E144:E145" si="182">+B144+D144</f>
        <v>5843064005.7799997</v>
      </c>
      <c r="F144" s="670"/>
      <c r="G144" s="670"/>
      <c r="H144" s="671">
        <v>1187832308</v>
      </c>
      <c r="I144" s="670">
        <f t="shared" ref="I144:I145" si="183">+H144</f>
        <v>1187832308</v>
      </c>
      <c r="J144" s="670"/>
      <c r="K144" s="670">
        <f t="shared" ref="K144:K145" si="184">+E144-I144</f>
        <v>4655231697.7799997</v>
      </c>
      <c r="L144" s="670"/>
      <c r="M144" s="670"/>
    </row>
    <row r="145" spans="1:13" s="668" customFormat="1" ht="18" customHeight="1">
      <c r="A145" s="669" t="s">
        <v>1138</v>
      </c>
      <c r="B145" s="671">
        <v>180000000</v>
      </c>
      <c r="C145" s="670">
        <v>0</v>
      </c>
      <c r="D145" s="670">
        <v>0</v>
      </c>
      <c r="E145" s="670">
        <f t="shared" si="182"/>
        <v>180000000</v>
      </c>
      <c r="F145" s="670"/>
      <c r="G145" s="670"/>
      <c r="H145" s="671">
        <v>179967000</v>
      </c>
      <c r="I145" s="670">
        <f t="shared" si="183"/>
        <v>179967000</v>
      </c>
      <c r="J145" s="670"/>
      <c r="K145" s="670">
        <f t="shared" si="184"/>
        <v>33000</v>
      </c>
      <c r="L145" s="670"/>
      <c r="M145" s="670"/>
    </row>
    <row r="146" spans="1:13" s="668" customFormat="1" ht="18" customHeight="1">
      <c r="A146" s="669" t="s">
        <v>1139</v>
      </c>
      <c r="B146" s="671">
        <f>+B147+B149</f>
        <v>102000000</v>
      </c>
      <c r="C146" s="671">
        <f t="shared" ref="C146:I146" si="185">+C147+C149</f>
        <v>0</v>
      </c>
      <c r="D146" s="671">
        <f t="shared" si="185"/>
        <v>0</v>
      </c>
      <c r="E146" s="671">
        <f t="shared" si="185"/>
        <v>102000000</v>
      </c>
      <c r="F146" s="671">
        <f t="shared" si="185"/>
        <v>0</v>
      </c>
      <c r="G146" s="671">
        <f t="shared" si="185"/>
        <v>0</v>
      </c>
      <c r="H146" s="671">
        <f t="shared" si="185"/>
        <v>54639686</v>
      </c>
      <c r="I146" s="671">
        <f t="shared" si="185"/>
        <v>54639686</v>
      </c>
      <c r="J146" s="673"/>
      <c r="K146" s="671">
        <f t="shared" ref="K146:M146" si="186">+K147+K149</f>
        <v>47360314</v>
      </c>
      <c r="L146" s="671">
        <f t="shared" si="186"/>
        <v>0</v>
      </c>
      <c r="M146" s="671">
        <f t="shared" si="186"/>
        <v>0</v>
      </c>
    </row>
    <row r="147" spans="1:13" s="668" customFormat="1" ht="18" customHeight="1">
      <c r="A147" s="669" t="s">
        <v>1140</v>
      </c>
      <c r="B147" s="671">
        <f>+B148</f>
        <v>20000000</v>
      </c>
      <c r="C147" s="671">
        <f t="shared" ref="C147:I147" si="187">+C148</f>
        <v>0</v>
      </c>
      <c r="D147" s="671">
        <f t="shared" si="187"/>
        <v>0</v>
      </c>
      <c r="E147" s="671">
        <f t="shared" si="187"/>
        <v>20000000</v>
      </c>
      <c r="F147" s="671">
        <f t="shared" si="187"/>
        <v>0</v>
      </c>
      <c r="G147" s="671">
        <f t="shared" si="187"/>
        <v>0</v>
      </c>
      <c r="H147" s="671">
        <f t="shared" si="187"/>
        <v>0</v>
      </c>
      <c r="I147" s="671">
        <f t="shared" si="187"/>
        <v>0</v>
      </c>
      <c r="J147" s="673"/>
      <c r="K147" s="671">
        <f t="shared" ref="K147:M147" si="188">+K148</f>
        <v>20000000</v>
      </c>
      <c r="L147" s="671">
        <f t="shared" si="188"/>
        <v>0</v>
      </c>
      <c r="M147" s="671">
        <f t="shared" si="188"/>
        <v>0</v>
      </c>
    </row>
    <row r="148" spans="1:13" s="668" customFormat="1" ht="18" customHeight="1">
      <c r="A148" s="669" t="s">
        <v>1141</v>
      </c>
      <c r="B148" s="671">
        <v>20000000</v>
      </c>
      <c r="C148" s="670">
        <v>0</v>
      </c>
      <c r="D148" s="670">
        <v>0</v>
      </c>
      <c r="E148" s="670">
        <f t="shared" ref="E148" si="189">+B148+D148</f>
        <v>20000000</v>
      </c>
      <c r="F148" s="670"/>
      <c r="G148" s="670"/>
      <c r="H148" s="670">
        <v>0</v>
      </c>
      <c r="I148" s="670">
        <f t="shared" ref="I148" si="190">+H148</f>
        <v>0</v>
      </c>
      <c r="J148" s="670"/>
      <c r="K148" s="670">
        <f t="shared" ref="K148" si="191">+E148-I148</f>
        <v>20000000</v>
      </c>
      <c r="L148" s="670"/>
      <c r="M148" s="670"/>
    </row>
    <row r="149" spans="1:13" s="668" customFormat="1" ht="18" customHeight="1">
      <c r="A149" s="669" t="s">
        <v>1142</v>
      </c>
      <c r="B149" s="671">
        <f>+B150</f>
        <v>82000000</v>
      </c>
      <c r="C149" s="671">
        <f t="shared" ref="C149:I149" si="192">+C150</f>
        <v>0</v>
      </c>
      <c r="D149" s="671">
        <f t="shared" si="192"/>
        <v>0</v>
      </c>
      <c r="E149" s="671">
        <f t="shared" si="192"/>
        <v>82000000</v>
      </c>
      <c r="F149" s="671">
        <f t="shared" si="192"/>
        <v>0</v>
      </c>
      <c r="G149" s="671">
        <f t="shared" si="192"/>
        <v>0</v>
      </c>
      <c r="H149" s="671">
        <f t="shared" si="192"/>
        <v>54639686</v>
      </c>
      <c r="I149" s="671">
        <f t="shared" si="192"/>
        <v>54639686</v>
      </c>
      <c r="J149" s="673"/>
      <c r="K149" s="671">
        <f t="shared" ref="K149:M149" si="193">+K150</f>
        <v>27360314</v>
      </c>
      <c r="L149" s="671">
        <f t="shared" si="193"/>
        <v>0</v>
      </c>
      <c r="M149" s="671">
        <f t="shared" si="193"/>
        <v>0</v>
      </c>
    </row>
    <row r="150" spans="1:13" s="668" customFormat="1" ht="18" customHeight="1">
      <c r="A150" s="669" t="s">
        <v>1143</v>
      </c>
      <c r="B150" s="671">
        <v>82000000</v>
      </c>
      <c r="C150" s="670">
        <v>0</v>
      </c>
      <c r="D150" s="670">
        <v>0</v>
      </c>
      <c r="E150" s="670">
        <f t="shared" ref="E150" si="194">+B150+D150</f>
        <v>82000000</v>
      </c>
      <c r="F150" s="670"/>
      <c r="G150" s="670"/>
      <c r="H150" s="671">
        <v>54639686</v>
      </c>
      <c r="I150" s="670">
        <f t="shared" ref="I150" si="195">+H150</f>
        <v>54639686</v>
      </c>
      <c r="J150" s="670"/>
      <c r="K150" s="670">
        <f t="shared" ref="K150" si="196">+E150-I150</f>
        <v>27360314</v>
      </c>
      <c r="L150" s="670"/>
      <c r="M150" s="670"/>
    </row>
  </sheetData>
  <mergeCells count="1">
    <mergeCell ref="A1:M2"/>
  </mergeCells>
  <pageMargins left="0.7" right="0.7" top="0.75" bottom="0.75" header="0.3" footer="0.3"/>
  <pageSetup orientation="portrait" r:id="rId1"/>
  <headerFooter>
    <oddFooter>&amp;C&amp;"Helvetica Neue,Regular"&amp;12&amp;K000000&amp;P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EFF51-978E-459A-B069-4E08FCE73CC2}">
  <dimension ref="A1:AC244"/>
  <sheetViews>
    <sheetView showGridLines="0" topLeftCell="A4" zoomScaleNormal="100" workbookViewId="0">
      <pane xSplit="2" ySplit="10" topLeftCell="O16" activePane="bottomRight" state="frozen"/>
      <selection activeCell="A4" sqref="A4"/>
      <selection pane="topRight" activeCell="C4" sqref="C4"/>
      <selection pane="bottomLeft" activeCell="A14" sqref="A14"/>
      <selection pane="bottomRight" activeCell="C14" sqref="C14"/>
    </sheetView>
  </sheetViews>
  <sheetFormatPr baseColWidth="10" defaultColWidth="10.81640625" defaultRowHeight="15" customHeight="1"/>
  <cols>
    <col min="1" max="1" width="22.81640625" style="368" customWidth="1"/>
    <col min="2" max="2" width="46.7265625" style="368" bestFit="1" customWidth="1"/>
    <col min="3" max="3" width="23" style="368" bestFit="1" customWidth="1"/>
    <col min="4" max="4" width="21.7265625" style="368" customWidth="1"/>
    <col min="5" max="5" width="23.54296875" style="368" bestFit="1" customWidth="1"/>
    <col min="6" max="6" width="22.453125" style="368" customWidth="1"/>
    <col min="7" max="13" width="22.453125" style="368" bestFit="1" customWidth="1"/>
    <col min="14" max="14" width="22.81640625" style="368" bestFit="1" customWidth="1"/>
    <col min="15" max="15" width="28.1796875" style="368" customWidth="1"/>
    <col min="16" max="16" width="20.7265625" style="368" customWidth="1"/>
    <col min="17" max="17" width="18.81640625" style="368" bestFit="1" customWidth="1"/>
    <col min="18" max="20" width="20" style="368" bestFit="1" customWidth="1"/>
    <col min="21" max="21" width="19.26953125" style="368" bestFit="1" customWidth="1"/>
    <col min="22" max="22" width="20.26953125" style="368" bestFit="1" customWidth="1"/>
    <col min="23" max="23" width="19.26953125" style="368" bestFit="1" customWidth="1"/>
    <col min="24" max="24" width="20" style="368" bestFit="1" customWidth="1"/>
    <col min="25" max="26" width="20.26953125" style="368" bestFit="1" customWidth="1"/>
    <col min="27" max="27" width="20.7265625" style="368" bestFit="1" customWidth="1"/>
    <col min="28" max="28" width="20" style="368" bestFit="1" customWidth="1"/>
    <col min="29" max="29" width="19.54296875" style="368" bestFit="1" customWidth="1"/>
    <col min="30" max="30" width="10.81640625" style="368" customWidth="1"/>
    <col min="31" max="16384" width="10.81640625" style="368"/>
  </cols>
  <sheetData>
    <row r="1" spans="1:29" ht="13.5" customHeight="1">
      <c r="A1" s="615" t="s">
        <v>0</v>
      </c>
      <c r="B1" s="616"/>
      <c r="C1" s="617" t="s">
        <v>1</v>
      </c>
      <c r="D1" s="618"/>
      <c r="E1" s="618"/>
      <c r="F1" s="618"/>
      <c r="G1" s="618"/>
      <c r="H1" s="618"/>
      <c r="I1" s="618"/>
      <c r="J1" s="618"/>
      <c r="K1" s="618"/>
      <c r="L1" s="618"/>
      <c r="M1" s="618"/>
      <c r="N1" s="618"/>
      <c r="O1" s="618"/>
      <c r="P1" s="618"/>
      <c r="Q1" s="618"/>
      <c r="R1" s="618"/>
      <c r="S1" s="618"/>
      <c r="T1" s="618"/>
      <c r="U1" s="618"/>
      <c r="V1" s="618"/>
      <c r="W1" s="618"/>
      <c r="X1" s="618"/>
      <c r="Y1" s="618"/>
      <c r="Z1" s="618"/>
      <c r="AA1" s="619" t="s">
        <v>2</v>
      </c>
      <c r="AB1" s="620"/>
      <c r="AC1" s="243"/>
    </row>
    <row r="2" spans="1:29" ht="15" customHeight="1">
      <c r="A2" s="616"/>
      <c r="B2" s="616"/>
      <c r="C2" s="618"/>
      <c r="D2" s="618"/>
      <c r="E2" s="618"/>
      <c r="F2" s="618"/>
      <c r="G2" s="618"/>
      <c r="H2" s="618"/>
      <c r="I2" s="618"/>
      <c r="J2" s="618"/>
      <c r="K2" s="618"/>
      <c r="L2" s="618"/>
      <c r="M2" s="618"/>
      <c r="N2" s="618"/>
      <c r="O2" s="618"/>
      <c r="P2" s="618"/>
      <c r="Q2" s="618"/>
      <c r="R2" s="618"/>
      <c r="S2" s="618"/>
      <c r="T2" s="618"/>
      <c r="U2" s="618"/>
      <c r="V2" s="618"/>
      <c r="W2" s="618"/>
      <c r="X2" s="618"/>
      <c r="Y2" s="618"/>
      <c r="Z2" s="618"/>
      <c r="AA2" s="620"/>
      <c r="AB2" s="620"/>
      <c r="AC2" s="243"/>
    </row>
    <row r="3" spans="1:29" ht="15" customHeight="1">
      <c r="A3" s="616"/>
      <c r="B3" s="616"/>
      <c r="C3" s="618"/>
      <c r="D3" s="618"/>
      <c r="E3" s="618"/>
      <c r="F3" s="618"/>
      <c r="G3" s="618"/>
      <c r="H3" s="618"/>
      <c r="I3" s="618"/>
      <c r="J3" s="618"/>
      <c r="K3" s="618"/>
      <c r="L3" s="618"/>
      <c r="M3" s="618"/>
      <c r="N3" s="618"/>
      <c r="O3" s="618"/>
      <c r="P3" s="618"/>
      <c r="Q3" s="618"/>
      <c r="R3" s="618"/>
      <c r="S3" s="618"/>
      <c r="T3" s="618"/>
      <c r="U3" s="618"/>
      <c r="V3" s="618"/>
      <c r="W3" s="618"/>
      <c r="X3" s="618"/>
      <c r="Y3" s="618"/>
      <c r="Z3" s="618"/>
      <c r="AA3" s="621" t="s">
        <v>4</v>
      </c>
      <c r="AB3" s="622"/>
      <c r="AC3" s="243"/>
    </row>
    <row r="4" spans="1:29" ht="15" customHeight="1">
      <c r="A4" s="616"/>
      <c r="B4" s="616"/>
      <c r="C4" s="623" t="s">
        <v>3</v>
      </c>
      <c r="D4" s="624"/>
      <c r="E4" s="624"/>
      <c r="F4" s="624"/>
      <c r="G4" s="624"/>
      <c r="H4" s="624"/>
      <c r="I4" s="624"/>
      <c r="J4" s="624"/>
      <c r="K4" s="624"/>
      <c r="L4" s="624"/>
      <c r="M4" s="624"/>
      <c r="N4" s="624"/>
      <c r="O4" s="624"/>
      <c r="P4" s="624"/>
      <c r="Q4" s="624"/>
      <c r="R4" s="624"/>
      <c r="S4" s="624"/>
      <c r="T4" s="624"/>
      <c r="U4" s="624"/>
      <c r="V4" s="624"/>
      <c r="W4" s="624"/>
      <c r="X4" s="624"/>
      <c r="Y4" s="624"/>
      <c r="Z4" s="624"/>
      <c r="AA4" s="622"/>
      <c r="AB4" s="622"/>
      <c r="AC4" s="243"/>
    </row>
    <row r="5" spans="1:29" ht="15" customHeight="1">
      <c r="A5" s="616"/>
      <c r="B5" s="616"/>
      <c r="C5" s="624"/>
      <c r="D5" s="624"/>
      <c r="E5" s="624"/>
      <c r="F5" s="624"/>
      <c r="G5" s="624"/>
      <c r="H5" s="624"/>
      <c r="I5" s="624"/>
      <c r="J5" s="624"/>
      <c r="K5" s="624"/>
      <c r="L5" s="624"/>
      <c r="M5" s="624"/>
      <c r="N5" s="624"/>
      <c r="O5" s="624"/>
      <c r="P5" s="624"/>
      <c r="Q5" s="624"/>
      <c r="R5" s="624"/>
      <c r="S5" s="624"/>
      <c r="T5" s="624"/>
      <c r="U5" s="624"/>
      <c r="V5" s="624"/>
      <c r="W5" s="624"/>
      <c r="X5" s="624"/>
      <c r="Y5" s="624"/>
      <c r="Z5" s="624"/>
      <c r="AA5" s="621" t="s">
        <v>5</v>
      </c>
      <c r="AB5" s="622"/>
      <c r="AC5" s="243"/>
    </row>
    <row r="6" spans="1:29" ht="15" customHeight="1">
      <c r="A6" s="616"/>
      <c r="B6" s="616"/>
      <c r="C6" s="624"/>
      <c r="D6" s="624"/>
      <c r="E6" s="624"/>
      <c r="F6" s="624"/>
      <c r="G6" s="624"/>
      <c r="H6" s="624"/>
      <c r="I6" s="624"/>
      <c r="J6" s="624"/>
      <c r="K6" s="624"/>
      <c r="L6" s="624"/>
      <c r="M6" s="624"/>
      <c r="N6" s="624"/>
      <c r="O6" s="624"/>
      <c r="P6" s="624"/>
      <c r="Q6" s="624"/>
      <c r="R6" s="624"/>
      <c r="S6" s="624"/>
      <c r="T6" s="624"/>
      <c r="U6" s="624"/>
      <c r="V6" s="624"/>
      <c r="W6" s="624"/>
      <c r="X6" s="624"/>
      <c r="Y6" s="624"/>
      <c r="Z6" s="624"/>
      <c r="AA6" s="622"/>
      <c r="AB6" s="622"/>
      <c r="AC6" s="243"/>
    </row>
    <row r="7" spans="1:29" ht="15" customHeight="1">
      <c r="A7" s="249"/>
      <c r="B7" s="249"/>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39"/>
    </row>
    <row r="8" spans="1:29" ht="15" customHeight="1">
      <c r="A8" s="239"/>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row>
    <row r="9" spans="1:29" ht="15" customHeight="1">
      <c r="A9" s="239"/>
      <c r="B9" s="239"/>
      <c r="C9" s="239"/>
      <c r="D9" s="239"/>
      <c r="E9" s="239"/>
      <c r="F9" s="239"/>
      <c r="G9" s="239"/>
      <c r="H9" s="239"/>
      <c r="I9" s="239"/>
      <c r="J9" s="239"/>
      <c r="K9" s="239"/>
      <c r="L9" s="239"/>
      <c r="M9" s="239"/>
      <c r="N9" s="239"/>
      <c r="O9" s="239"/>
      <c r="P9" s="239"/>
      <c r="Q9" s="239"/>
      <c r="R9" s="239"/>
      <c r="S9" s="239"/>
      <c r="T9" s="239"/>
      <c r="U9" s="239"/>
      <c r="V9" s="239"/>
      <c r="W9" s="239"/>
      <c r="X9" s="239"/>
      <c r="Y9" s="239"/>
      <c r="Z9" s="239"/>
      <c r="AA9" s="239"/>
      <c r="AB9" s="239"/>
      <c r="AC9" s="239"/>
    </row>
    <row r="10" spans="1:29" ht="15" customHeight="1">
      <c r="A10" s="236"/>
      <c r="B10" s="236"/>
      <c r="C10" s="405"/>
      <c r="D10" s="405"/>
      <c r="E10" s="405"/>
      <c r="F10" s="236"/>
      <c r="G10" s="236"/>
      <c r="H10" s="236"/>
      <c r="I10" s="236"/>
      <c r="J10" s="236"/>
      <c r="K10" s="236"/>
      <c r="L10" s="236"/>
      <c r="M10" s="236"/>
      <c r="N10" s="236"/>
      <c r="O10" s="236"/>
      <c r="P10" s="239"/>
      <c r="Q10" s="239"/>
      <c r="R10" s="239"/>
      <c r="S10" s="239"/>
      <c r="T10" s="239"/>
      <c r="U10" s="239"/>
      <c r="V10" s="239"/>
      <c r="W10" s="239"/>
      <c r="X10" s="239"/>
      <c r="Y10" s="239"/>
      <c r="Z10" s="239"/>
      <c r="AA10" s="239"/>
      <c r="AB10" s="239"/>
      <c r="AC10" s="239"/>
    </row>
    <row r="11" spans="1:29" ht="15" customHeight="1">
      <c r="A11" s="212" t="s">
        <v>686</v>
      </c>
      <c r="B11" s="380" t="s">
        <v>687</v>
      </c>
      <c r="C11" s="407" t="s">
        <v>688</v>
      </c>
      <c r="D11" s="407" t="s">
        <v>689</v>
      </c>
      <c r="E11" s="407" t="s">
        <v>690</v>
      </c>
      <c r="F11" s="392" t="s">
        <v>691</v>
      </c>
      <c r="G11" s="213" t="s">
        <v>692</v>
      </c>
      <c r="H11" s="213" t="s">
        <v>693</v>
      </c>
      <c r="I11" s="213" t="s">
        <v>694</v>
      </c>
      <c r="J11" s="213" t="s">
        <v>695</v>
      </c>
      <c r="K11" s="213" t="s">
        <v>696</v>
      </c>
      <c r="L11" s="213" t="s">
        <v>697</v>
      </c>
      <c r="M11" s="213" t="s">
        <v>698</v>
      </c>
      <c r="N11" s="213" t="s">
        <v>699</v>
      </c>
      <c r="O11" s="213" t="s">
        <v>700</v>
      </c>
      <c r="P11" s="243"/>
      <c r="Q11" s="239"/>
      <c r="R11" s="239"/>
      <c r="S11" s="239"/>
      <c r="T11" s="239"/>
      <c r="U11" s="239"/>
      <c r="V11" s="239"/>
      <c r="W11" s="239"/>
      <c r="X11" s="239"/>
      <c r="Y11" s="239"/>
      <c r="Z11" s="239"/>
      <c r="AA11" s="239"/>
      <c r="AB11" s="239"/>
      <c r="AC11" s="239"/>
    </row>
    <row r="12" spans="1:29" ht="15" customHeight="1">
      <c r="A12" s="348"/>
      <c r="B12" s="381" t="s">
        <v>701</v>
      </c>
      <c r="C12" s="353" cm="1">
        <f t="array" ref="C12">B216</f>
        <v>4615550804</v>
      </c>
      <c r="D12" s="353" cm="1">
        <f t="array" ref="D12">C212</f>
        <v>4227294550.0599999</v>
      </c>
      <c r="E12" s="353" cm="1">
        <f t="array" ref="E12">D212</f>
        <v>4111225121.5200005</v>
      </c>
      <c r="F12" s="393" cm="1">
        <f t="array" ref="F12">E212</f>
        <v>4727115781.4300003</v>
      </c>
      <c r="G12" s="393" cm="1">
        <f t="array" ref="G12">F212</f>
        <v>7441365395.6975002</v>
      </c>
      <c r="H12" s="393" cm="1">
        <f t="array" ref="H12">G212</f>
        <v>3476761251.3593044</v>
      </c>
      <c r="I12" s="393" cm="1">
        <f t="array" ref="I12">H212</f>
        <v>3480684756.3151665</v>
      </c>
      <c r="J12" s="393" cm="1">
        <f t="array" ref="J12">I212</f>
        <v>3519039798.7376099</v>
      </c>
      <c r="K12" s="393" cm="1">
        <f t="array" ref="K12">J212</f>
        <v>3452800534.4771528</v>
      </c>
      <c r="L12" s="393" cm="1">
        <f t="array" ref="L12">K212</f>
        <v>3645314305.029973</v>
      </c>
      <c r="M12" s="393" cm="1">
        <f t="array" ref="M12">L212</f>
        <v>3785630202.0594559</v>
      </c>
      <c r="N12" s="393" cm="1">
        <f t="array" ref="N12">M212</f>
        <v>3917428628.9542866</v>
      </c>
      <c r="O12" s="349"/>
      <c r="P12" s="625">
        <f>(N15-C15)/C15</f>
        <v>0.66205598035965596</v>
      </c>
      <c r="Q12" s="239"/>
      <c r="R12" s="239"/>
      <c r="S12" s="239"/>
      <c r="T12" s="239"/>
      <c r="U12" s="239"/>
      <c r="V12" s="239"/>
      <c r="W12" s="239"/>
      <c r="X12" s="239"/>
      <c r="Y12" s="239"/>
      <c r="Z12" s="239"/>
      <c r="AA12" s="239"/>
      <c r="AB12" s="239"/>
      <c r="AC12" s="239"/>
    </row>
    <row r="13" spans="1:29" ht="15" customHeight="1">
      <c r="A13" s="352">
        <v>1</v>
      </c>
      <c r="B13" s="382" t="s">
        <v>702</v>
      </c>
      <c r="C13" s="353">
        <f>+C14+C30+C38+C51+C53+C60+C87+C95</f>
        <v>1966902967</v>
      </c>
      <c r="D13" s="353">
        <f t="shared" ref="D13:O13" si="0">+D14+D30+D38+D51+D53+D60+D87+D95</f>
        <v>2115061860.9100001</v>
      </c>
      <c r="E13" s="353">
        <f t="shared" si="0"/>
        <v>5259878642.6999998</v>
      </c>
      <c r="F13" s="394">
        <f t="shared" si="0"/>
        <v>5362088314.7275</v>
      </c>
      <c r="G13" s="353">
        <f t="shared" si="0"/>
        <v>5430146418.9426384</v>
      </c>
      <c r="H13" s="353">
        <f t="shared" si="0"/>
        <v>5465794169.5415001</v>
      </c>
      <c r="I13" s="353">
        <f t="shared" si="0"/>
        <v>5536033083.8351593</v>
      </c>
      <c r="J13" s="353">
        <f t="shared" si="0"/>
        <v>5501837110.8052721</v>
      </c>
      <c r="K13" s="353">
        <f t="shared" si="0"/>
        <v>5726554389.0448132</v>
      </c>
      <c r="L13" s="353">
        <f t="shared" si="0"/>
        <v>5899234811.2994576</v>
      </c>
      <c r="M13" s="353">
        <f t="shared" si="0"/>
        <v>6063559586.0455713</v>
      </c>
      <c r="N13" s="353">
        <f t="shared" si="0"/>
        <v>6360398874.1226664</v>
      </c>
      <c r="O13" s="353">
        <f t="shared" si="0"/>
        <v>60687490228.974579</v>
      </c>
      <c r="P13" s="369"/>
      <c r="Q13" s="239"/>
      <c r="R13" s="239"/>
      <c r="S13" s="239"/>
      <c r="T13" s="239"/>
      <c r="U13" s="239"/>
      <c r="V13" s="239"/>
      <c r="W13" s="239"/>
      <c r="X13" s="239"/>
      <c r="Y13" s="239"/>
      <c r="Z13" s="239"/>
      <c r="AA13" s="239"/>
      <c r="AB13" s="239"/>
      <c r="AC13" s="239"/>
    </row>
    <row r="14" spans="1:29" ht="15" customHeight="1">
      <c r="A14" s="354" t="s">
        <v>946</v>
      </c>
      <c r="B14" s="383" t="s">
        <v>1145</v>
      </c>
      <c r="C14" s="355">
        <f>SUM(C15:C29)</f>
        <v>1637583401</v>
      </c>
      <c r="D14" s="355">
        <f t="shared" ref="D14:O14" si="1">SUM(D15:D29)</f>
        <v>1374093038</v>
      </c>
      <c r="E14" s="355">
        <f t="shared" si="1"/>
        <v>1775114531.6999998</v>
      </c>
      <c r="F14" s="395">
        <f t="shared" si="1"/>
        <v>1854700383.1724997</v>
      </c>
      <c r="G14" s="355">
        <f t="shared" si="1"/>
        <v>1905221547.7298627</v>
      </c>
      <c r="H14" s="355">
        <f t="shared" si="1"/>
        <v>1923244673.9726613</v>
      </c>
      <c r="I14" s="355">
        <f t="shared" si="1"/>
        <v>1975770840.7884769</v>
      </c>
      <c r="J14" s="355">
        <f t="shared" si="1"/>
        <v>1923773556.5433557</v>
      </c>
      <c r="K14" s="355">
        <f t="shared" si="1"/>
        <v>2130600517.0115867</v>
      </c>
      <c r="L14" s="355">
        <f t="shared" si="1"/>
        <v>2285301169.9060655</v>
      </c>
      <c r="M14" s="355">
        <f t="shared" si="1"/>
        <v>2431556276.4452119</v>
      </c>
      <c r="N14" s="355">
        <f t="shared" si="1"/>
        <v>2722601504.634305</v>
      </c>
      <c r="O14" s="355">
        <f t="shared" si="1"/>
        <v>23939561440.904026</v>
      </c>
      <c r="P14" s="369"/>
      <c r="Q14" s="239"/>
      <c r="R14" s="370"/>
      <c r="S14" s="370"/>
      <c r="T14" s="370"/>
      <c r="U14" s="370"/>
      <c r="V14" s="370"/>
      <c r="W14" s="370"/>
      <c r="X14" s="370"/>
      <c r="Y14" s="371"/>
      <c r="Z14" s="371"/>
      <c r="AA14" s="370"/>
      <c r="AB14" s="239"/>
      <c r="AC14" s="239"/>
    </row>
    <row r="15" spans="1:29" ht="16.5" customHeight="1">
      <c r="A15" s="356" t="s">
        <v>524</v>
      </c>
      <c r="B15" s="384" t="s">
        <v>1146</v>
      </c>
      <c r="C15" s="357">
        <v>1509674871</v>
      </c>
      <c r="D15" s="358">
        <v>1146963160</v>
      </c>
      <c r="E15" s="357">
        <f>(+D15*37%)+D15</f>
        <v>1571339529.2</v>
      </c>
      <c r="F15" s="396">
        <f>(E15*(5%)+E15)</f>
        <v>1649906505.6600001</v>
      </c>
      <c r="G15" s="357">
        <f>(F15*3%)+F15</f>
        <v>1699403700.8298001</v>
      </c>
      <c r="H15" s="357">
        <f>(G15*1%)+G15</f>
        <v>1716397737.838098</v>
      </c>
      <c r="I15" s="357">
        <f>(H15*3%)+H15</f>
        <v>1767889669.9732411</v>
      </c>
      <c r="J15" s="357">
        <f>(I15*(-3%)+I15)</f>
        <v>1714852979.8740439</v>
      </c>
      <c r="K15" s="357">
        <f>(J15*12%)+J15</f>
        <v>1920635337.4589293</v>
      </c>
      <c r="L15" s="357">
        <f>(K15*8%)+K15</f>
        <v>2074286164.4556437</v>
      </c>
      <c r="M15" s="357">
        <f>(L15*7%)+L15</f>
        <v>2219486195.9675388</v>
      </c>
      <c r="N15" s="357">
        <f>(M15*13.0515%)+M15+1710.91</f>
        <v>2509164147.7442422</v>
      </c>
      <c r="O15" s="357">
        <f>SUM(C15:N15)</f>
        <v>21500000000.001537</v>
      </c>
      <c r="P15" s="357">
        <v>21500000000</v>
      </c>
      <c r="Q15" s="252">
        <f>+P15-O15</f>
        <v>-1.537322998046875E-3</v>
      </c>
      <c r="R15" s="372">
        <f>+O15/12</f>
        <v>1791666666.6667948</v>
      </c>
      <c r="S15" s="373"/>
      <c r="T15" s="373"/>
      <c r="U15" s="373"/>
      <c r="V15" s="373"/>
      <c r="W15" s="373"/>
      <c r="X15" s="373"/>
      <c r="Y15" s="373"/>
      <c r="Z15" s="373"/>
      <c r="AA15" s="373"/>
      <c r="AB15" s="252"/>
      <c r="AC15" s="252"/>
    </row>
    <row r="16" spans="1:29" ht="16.5" customHeight="1">
      <c r="A16" s="356" t="s">
        <v>526</v>
      </c>
      <c r="B16" s="384" t="s">
        <v>1147</v>
      </c>
      <c r="C16" s="357">
        <v>59361308</v>
      </c>
      <c r="D16" s="358">
        <v>104694879</v>
      </c>
      <c r="E16" s="358">
        <v>79668093.5</v>
      </c>
      <c r="F16" s="396">
        <f>(E16*0.5%+E16)</f>
        <v>80066433.967500001</v>
      </c>
      <c r="G16" s="357">
        <f>(F16*0.5%)+F16</f>
        <v>80466766.137337506</v>
      </c>
      <c r="H16" s="357">
        <f>(G16*0.5%)+G16</f>
        <v>80869099.968024194</v>
      </c>
      <c r="I16" s="357">
        <f>(H16*0.5%)+H16</f>
        <v>81273445.46786432</v>
      </c>
      <c r="J16" s="357">
        <f>(I16*(0.5%)+I16)</f>
        <v>81679812.695203647</v>
      </c>
      <c r="K16" s="357">
        <f>(J16*0.5%)+J16</f>
        <v>82088211.758679658</v>
      </c>
      <c r="L16" s="357">
        <f>(K16*0.5%)+K16</f>
        <v>82498652.817473054</v>
      </c>
      <c r="M16" s="357">
        <f>(L16*0.5%)+L16</f>
        <v>82911146.081560418</v>
      </c>
      <c r="N16" s="357">
        <f>(M16*0.5%)+M16+96448.79</f>
        <v>83422150.601968229</v>
      </c>
      <c r="O16" s="357">
        <f>SUM(C16:N16)</f>
        <v>978999999.99561095</v>
      </c>
      <c r="P16" s="357">
        <v>979000000</v>
      </c>
      <c r="Q16" s="252">
        <f t="shared" ref="Q16:Q35" si="2">+P16-O16</f>
        <v>4.3890476226806641E-3</v>
      </c>
      <c r="R16" s="372">
        <f>AVERAGE(C15:D15)</f>
        <v>1328319015.5</v>
      </c>
      <c r="S16" s="373"/>
      <c r="T16" s="372"/>
      <c r="U16" s="239"/>
      <c r="V16" s="239"/>
      <c r="W16" s="239"/>
      <c r="X16" s="239"/>
      <c r="Y16" s="239"/>
      <c r="Z16" s="239"/>
      <c r="AA16" s="239"/>
      <c r="AB16" s="239"/>
      <c r="AC16" s="239"/>
    </row>
    <row r="17" spans="1:29" ht="16.5" customHeight="1">
      <c r="A17" s="356" t="s">
        <v>528</v>
      </c>
      <c r="B17" s="384" t="s">
        <v>1148</v>
      </c>
      <c r="C17" s="357">
        <v>222814</v>
      </c>
      <c r="D17" s="358">
        <v>604046</v>
      </c>
      <c r="E17" s="358">
        <v>4807314</v>
      </c>
      <c r="F17" s="396">
        <f t="shared" ref="F17:F80" si="3">(E17*0.5%+E17)</f>
        <v>4831350.57</v>
      </c>
      <c r="G17" s="357">
        <f t="shared" ref="G17:I17" si="4">(F17*0.5%)+F17</f>
        <v>4855507.3228500001</v>
      </c>
      <c r="H17" s="357">
        <f t="shared" si="4"/>
        <v>4879784.8594642505</v>
      </c>
      <c r="I17" s="357">
        <f t="shared" si="4"/>
        <v>4904183.7837615721</v>
      </c>
      <c r="J17" s="357">
        <f t="shared" ref="J17:J80" si="5">(I17*(0.5%)+I17)</f>
        <v>4928704.7026803801</v>
      </c>
      <c r="K17" s="357">
        <f t="shared" ref="K17:M17" si="6">(J17*0.5%)+J17</f>
        <v>4953348.2261937819</v>
      </c>
      <c r="L17" s="357">
        <f t="shared" si="6"/>
        <v>4978114.9673247505</v>
      </c>
      <c r="M17" s="357">
        <f t="shared" si="6"/>
        <v>5003005.5421613744</v>
      </c>
      <c r="N17" s="357">
        <f>(M17*0.5%)+M17+3805.37</f>
        <v>5031825.939872181</v>
      </c>
      <c r="O17" s="357">
        <f t="shared" ref="O17:O29" si="7">SUM(C17:N17)</f>
        <v>49999999.914308287</v>
      </c>
      <c r="P17" s="357">
        <v>50000000</v>
      </c>
      <c r="Q17" s="252">
        <f>+P17-O17</f>
        <v>8.569171279668808E-2</v>
      </c>
      <c r="R17" s="372"/>
      <c r="S17" s="373"/>
      <c r="T17" s="372"/>
      <c r="U17" s="239"/>
      <c r="V17" s="239"/>
      <c r="W17" s="239"/>
      <c r="X17" s="239"/>
      <c r="Y17" s="239"/>
      <c r="Z17" s="239"/>
      <c r="AA17" s="239"/>
      <c r="AB17" s="239"/>
      <c r="AC17" s="239"/>
    </row>
    <row r="18" spans="1:29" ht="16.5" customHeight="1">
      <c r="A18" s="356" t="s">
        <v>530</v>
      </c>
      <c r="B18" s="384" t="s">
        <v>1149</v>
      </c>
      <c r="C18" s="357">
        <v>14519364</v>
      </c>
      <c r="D18" s="358">
        <v>10483835</v>
      </c>
      <c r="E18" s="358">
        <v>8300680.0999999996</v>
      </c>
      <c r="F18" s="396">
        <f t="shared" si="3"/>
        <v>8342183.5005000001</v>
      </c>
      <c r="G18" s="357">
        <f t="shared" ref="G18:I18" si="8">(F18*0.5%)+F18</f>
        <v>8383894.4180025002</v>
      </c>
      <c r="H18" s="357">
        <f t="shared" si="8"/>
        <v>8425813.8900925126</v>
      </c>
      <c r="I18" s="357">
        <f t="shared" si="8"/>
        <v>8467942.9595429748</v>
      </c>
      <c r="J18" s="357">
        <f t="shared" si="5"/>
        <v>8510282.6743406896</v>
      </c>
      <c r="K18" s="357">
        <f t="shared" ref="K18:M18" si="9">(J18*0.5%)+J18</f>
        <v>8552834.0877123922</v>
      </c>
      <c r="L18" s="357">
        <f t="shared" si="9"/>
        <v>8595598.2581509538</v>
      </c>
      <c r="M18" s="357">
        <f t="shared" si="9"/>
        <v>8638576.2494417094</v>
      </c>
      <c r="N18" s="357">
        <f>(M18*0.5%)+M18+97225.73</f>
        <v>8778994.8606889192</v>
      </c>
      <c r="O18" s="357">
        <f t="shared" si="7"/>
        <v>109999999.99847266</v>
      </c>
      <c r="P18" s="357">
        <v>110000000</v>
      </c>
      <c r="Q18" s="252">
        <f t="shared" si="2"/>
        <v>1.5273392200469971E-3</v>
      </c>
      <c r="R18" s="252"/>
      <c r="S18" s="252"/>
      <c r="T18" s="239"/>
      <c r="U18" s="239"/>
      <c r="V18" s="239"/>
      <c r="W18" s="239"/>
      <c r="X18" s="239"/>
      <c r="Y18" s="239"/>
      <c r="Z18" s="239"/>
      <c r="AA18" s="239"/>
      <c r="AB18" s="239"/>
      <c r="AC18" s="239"/>
    </row>
    <row r="19" spans="1:29" ht="16.5" customHeight="1">
      <c r="A19" s="356" t="s">
        <v>532</v>
      </c>
      <c r="B19" s="384" t="s">
        <v>1150</v>
      </c>
      <c r="C19" s="357">
        <v>19221</v>
      </c>
      <c r="D19" s="358">
        <v>662721</v>
      </c>
      <c r="E19" s="358">
        <v>511805.8</v>
      </c>
      <c r="F19" s="396">
        <f t="shared" si="3"/>
        <v>514364.82899999997</v>
      </c>
      <c r="G19" s="357">
        <f t="shared" ref="G19:I19" si="10">(F19*0.5%)+F19</f>
        <v>516936.65314499999</v>
      </c>
      <c r="H19" s="357">
        <f t="shared" si="10"/>
        <v>519521.33641072497</v>
      </c>
      <c r="I19" s="357">
        <f t="shared" si="10"/>
        <v>522118.94309277862</v>
      </c>
      <c r="J19" s="357">
        <f t="shared" si="5"/>
        <v>524729.53780824249</v>
      </c>
      <c r="K19" s="357">
        <f t="shared" ref="K19:M19" si="11">(J19*0.5%)+J19</f>
        <v>527353.1854972837</v>
      </c>
      <c r="L19" s="357">
        <f t="shared" si="11"/>
        <v>529989.95142477017</v>
      </c>
      <c r="M19" s="357">
        <f t="shared" si="11"/>
        <v>532639.90118189401</v>
      </c>
      <c r="N19" s="357">
        <f>(M19*0.5%)+M19+83294.76</f>
        <v>618597.86068780348</v>
      </c>
      <c r="O19" s="357">
        <f t="shared" si="7"/>
        <v>5999999.998248498</v>
      </c>
      <c r="P19" s="357">
        <v>6000000</v>
      </c>
      <c r="Q19" s="252">
        <f t="shared" si="2"/>
        <v>1.7515020444989204E-3</v>
      </c>
      <c r="R19" s="252"/>
      <c r="S19" s="252"/>
      <c r="T19" s="239"/>
      <c r="U19" s="239"/>
      <c r="V19" s="239"/>
      <c r="W19" s="239"/>
      <c r="X19" s="239"/>
      <c r="Y19" s="239"/>
      <c r="Z19" s="239"/>
      <c r="AA19" s="239"/>
      <c r="AB19" s="239"/>
      <c r="AC19" s="239"/>
    </row>
    <row r="20" spans="1:29" ht="16.5" customHeight="1">
      <c r="A20" s="356" t="s">
        <v>534</v>
      </c>
      <c r="B20" s="384" t="s">
        <v>1151</v>
      </c>
      <c r="C20" s="357">
        <v>0</v>
      </c>
      <c r="D20" s="358">
        <v>0</v>
      </c>
      <c r="E20" s="358">
        <v>97</v>
      </c>
      <c r="F20" s="396">
        <f t="shared" si="3"/>
        <v>97.484999999999999</v>
      </c>
      <c r="G20" s="357">
        <f t="shared" ref="G20:I20" si="12">(F20*0.5%)+F20</f>
        <v>97.972425000000001</v>
      </c>
      <c r="H20" s="357">
        <f t="shared" si="12"/>
        <v>98.462287125000003</v>
      </c>
      <c r="I20" s="357">
        <f t="shared" si="12"/>
        <v>98.954598560625001</v>
      </c>
      <c r="J20" s="357">
        <f t="shared" si="5"/>
        <v>99.449371553428122</v>
      </c>
      <c r="K20" s="357">
        <f t="shared" ref="K20:M20" si="13">(J20*0.5%)+J20</f>
        <v>99.94661841119526</v>
      </c>
      <c r="L20" s="357">
        <f t="shared" si="13"/>
        <v>100.44635150325124</v>
      </c>
      <c r="M20" s="357">
        <f t="shared" si="13"/>
        <v>100.94858326076749</v>
      </c>
      <c r="N20" s="357">
        <f>(M20*0.5%)+M20+7.88</f>
        <v>109.33332617707133</v>
      </c>
      <c r="O20" s="357">
        <f t="shared" si="7"/>
        <v>999.99856159133833</v>
      </c>
      <c r="P20" s="357">
        <v>1000</v>
      </c>
      <c r="Q20" s="252">
        <f t="shared" si="2"/>
        <v>1.4384086616701097E-3</v>
      </c>
      <c r="R20" s="252"/>
      <c r="S20" s="252"/>
      <c r="T20" s="239"/>
      <c r="U20" s="239"/>
      <c r="V20" s="239"/>
      <c r="W20" s="239"/>
      <c r="X20" s="239"/>
      <c r="Y20" s="239"/>
      <c r="Z20" s="239"/>
      <c r="AA20" s="239"/>
      <c r="AB20" s="239"/>
      <c r="AC20" s="239"/>
    </row>
    <row r="21" spans="1:29" ht="16.5" customHeight="1">
      <c r="A21" s="356" t="s">
        <v>535</v>
      </c>
      <c r="B21" s="384" t="s">
        <v>1152</v>
      </c>
      <c r="C21" s="357">
        <v>39436107</v>
      </c>
      <c r="D21" s="358">
        <v>41739513</v>
      </c>
      <c r="E21" s="358">
        <v>93308182.099999994</v>
      </c>
      <c r="F21" s="396">
        <f t="shared" si="3"/>
        <v>93774723.010499999</v>
      </c>
      <c r="G21" s="357">
        <f t="shared" ref="G21:I21" si="14">(F21*0.5%)+F21</f>
        <v>94243596.625552505</v>
      </c>
      <c r="H21" s="357">
        <f t="shared" si="14"/>
        <v>94714814.608680263</v>
      </c>
      <c r="I21" s="357">
        <f t="shared" si="14"/>
        <v>95188388.681723669</v>
      </c>
      <c r="J21" s="357">
        <f t="shared" si="5"/>
        <v>95664330.625132293</v>
      </c>
      <c r="K21" s="357">
        <f t="shared" ref="K21:M21" si="15">(J21*0.5%)+J21</f>
        <v>96142652.278257951</v>
      </c>
      <c r="L21" s="357">
        <f t="shared" si="15"/>
        <v>96623365.539649248</v>
      </c>
      <c r="M21" s="357">
        <f t="shared" si="15"/>
        <v>97106482.367347494</v>
      </c>
      <c r="N21" s="357">
        <f>(M21*0.5%)+M21+96448.79-73178.41</f>
        <v>97615285.159184247</v>
      </c>
      <c r="O21" s="357">
        <f t="shared" si="7"/>
        <v>1035557440.9960277</v>
      </c>
      <c r="P21" s="357">
        <v>1035557441</v>
      </c>
      <c r="Q21" s="252">
        <f t="shared" si="2"/>
        <v>3.9722919464111328E-3</v>
      </c>
      <c r="R21" s="252"/>
      <c r="S21" s="252"/>
      <c r="T21" s="239"/>
      <c r="U21" s="239"/>
      <c r="V21" s="239"/>
      <c r="W21" s="239"/>
      <c r="X21" s="239"/>
      <c r="Y21" s="239"/>
      <c r="Z21" s="239"/>
      <c r="AA21" s="239"/>
      <c r="AB21" s="239"/>
      <c r="AC21" s="239"/>
    </row>
    <row r="22" spans="1:29" ht="16.5" customHeight="1">
      <c r="A22" s="356" t="s">
        <v>537</v>
      </c>
      <c r="B22" s="384" t="s">
        <v>1153</v>
      </c>
      <c r="C22" s="357">
        <v>0</v>
      </c>
      <c r="D22" s="358">
        <v>0</v>
      </c>
      <c r="E22" s="358">
        <v>97</v>
      </c>
      <c r="F22" s="396">
        <f t="shared" si="3"/>
        <v>97.484999999999999</v>
      </c>
      <c r="G22" s="357">
        <f t="shared" ref="G22:I22" si="16">(F22*0.5%)+F22</f>
        <v>97.972425000000001</v>
      </c>
      <c r="H22" s="357">
        <f t="shared" si="16"/>
        <v>98.462287125000003</v>
      </c>
      <c r="I22" s="357">
        <f t="shared" si="16"/>
        <v>98.954598560625001</v>
      </c>
      <c r="J22" s="357">
        <f t="shared" si="5"/>
        <v>99.449371553428122</v>
      </c>
      <c r="K22" s="357">
        <f t="shared" ref="K22:M22" si="17">(J22*0.5%)+J22</f>
        <v>99.94661841119526</v>
      </c>
      <c r="L22" s="357">
        <f t="shared" si="17"/>
        <v>100.44635150325124</v>
      </c>
      <c r="M22" s="357">
        <f t="shared" si="17"/>
        <v>100.94858326076749</v>
      </c>
      <c r="N22" s="357">
        <f t="shared" ref="N22:N23" si="18">(M22*0.5%)+M22+7.88</f>
        <v>109.33332617707133</v>
      </c>
      <c r="O22" s="357">
        <f t="shared" si="7"/>
        <v>999.99856159133833</v>
      </c>
      <c r="P22" s="357">
        <v>1000</v>
      </c>
      <c r="Q22" s="252">
        <f t="shared" si="2"/>
        <v>1.4384086616701097E-3</v>
      </c>
      <c r="R22" s="252"/>
      <c r="S22" s="252"/>
      <c r="T22" s="239"/>
      <c r="U22" s="239"/>
      <c r="V22" s="239"/>
      <c r="W22" s="239"/>
      <c r="X22" s="239"/>
      <c r="Y22" s="239"/>
      <c r="Z22" s="239"/>
      <c r="AA22" s="239"/>
      <c r="AB22" s="239"/>
      <c r="AC22" s="239"/>
    </row>
    <row r="23" spans="1:29" ht="16.5" customHeight="1">
      <c r="A23" s="356" t="s">
        <v>538</v>
      </c>
      <c r="B23" s="384" t="s">
        <v>1154</v>
      </c>
      <c r="C23" s="357">
        <v>0</v>
      </c>
      <c r="D23" s="358">
        <v>0</v>
      </c>
      <c r="E23" s="358">
        <v>97</v>
      </c>
      <c r="F23" s="396">
        <f t="shared" si="3"/>
        <v>97.484999999999999</v>
      </c>
      <c r="G23" s="357">
        <f t="shared" ref="G23:I23" si="19">(F23*0.5%)+F23</f>
        <v>97.972425000000001</v>
      </c>
      <c r="H23" s="357">
        <f t="shared" si="19"/>
        <v>98.462287125000003</v>
      </c>
      <c r="I23" s="357">
        <f t="shared" si="19"/>
        <v>98.954598560625001</v>
      </c>
      <c r="J23" s="357">
        <f t="shared" si="5"/>
        <v>99.449371553428122</v>
      </c>
      <c r="K23" s="357">
        <f t="shared" ref="K23:M23" si="20">(J23*0.5%)+J23</f>
        <v>99.94661841119526</v>
      </c>
      <c r="L23" s="357">
        <f t="shared" si="20"/>
        <v>100.44635150325124</v>
      </c>
      <c r="M23" s="357">
        <f t="shared" si="20"/>
        <v>100.94858326076749</v>
      </c>
      <c r="N23" s="357">
        <f t="shared" si="18"/>
        <v>109.33332617707133</v>
      </c>
      <c r="O23" s="357">
        <f t="shared" si="7"/>
        <v>999.99856159133833</v>
      </c>
      <c r="P23" s="357">
        <v>1000</v>
      </c>
      <c r="Q23" s="252">
        <f t="shared" si="2"/>
        <v>1.4384086616701097E-3</v>
      </c>
      <c r="R23" s="239"/>
      <c r="S23" s="372"/>
      <c r="T23" s="239"/>
      <c r="U23" s="239"/>
      <c r="V23" s="239"/>
      <c r="W23" s="239"/>
      <c r="X23" s="239"/>
      <c r="Y23" s="239"/>
      <c r="Z23" s="239"/>
      <c r="AA23" s="239"/>
      <c r="AB23" s="239"/>
      <c r="AC23" s="239"/>
    </row>
    <row r="24" spans="1:29" ht="16.5" customHeight="1">
      <c r="A24" s="356" t="s">
        <v>539</v>
      </c>
      <c r="B24" s="384" t="s">
        <v>1155</v>
      </c>
      <c r="C24" s="357">
        <v>1833994</v>
      </c>
      <c r="D24" s="358">
        <v>2983206</v>
      </c>
      <c r="E24" s="358">
        <v>9318280</v>
      </c>
      <c r="F24" s="396">
        <f t="shared" si="3"/>
        <v>9364871.4000000004</v>
      </c>
      <c r="G24" s="357">
        <f t="shared" ref="G24:I24" si="21">(F24*0.5%)+F24</f>
        <v>9411695.7570000011</v>
      </c>
      <c r="H24" s="357">
        <f t="shared" si="21"/>
        <v>9458754.2357850019</v>
      </c>
      <c r="I24" s="357">
        <f t="shared" si="21"/>
        <v>9506048.0069639273</v>
      </c>
      <c r="J24" s="357">
        <f t="shared" si="5"/>
        <v>9553578.2469987478</v>
      </c>
      <c r="K24" s="357">
        <f t="shared" ref="K24:M24" si="22">(J24*0.5%)+J24</f>
        <v>9601346.1382337417</v>
      </c>
      <c r="L24" s="357">
        <f t="shared" si="22"/>
        <v>9649352.8689249102</v>
      </c>
      <c r="M24" s="357">
        <f t="shared" si="22"/>
        <v>9697599.6332695354</v>
      </c>
      <c r="N24" s="357">
        <f>(M24*0.5%)+M24-124813.92</f>
        <v>9621273.7114358824</v>
      </c>
      <c r="O24" s="357">
        <f t="shared" si="7"/>
        <v>99999999.998611748</v>
      </c>
      <c r="P24" s="357">
        <v>100000000</v>
      </c>
      <c r="Q24" s="252">
        <f t="shared" si="2"/>
        <v>1.388251781463623E-3</v>
      </c>
      <c r="R24" s="252"/>
      <c r="S24" s="252"/>
      <c r="T24" s="239"/>
      <c r="U24" s="239"/>
      <c r="V24" s="239"/>
      <c r="W24" s="239"/>
      <c r="X24" s="239"/>
      <c r="Y24" s="239"/>
      <c r="Z24" s="239"/>
      <c r="AA24" s="239"/>
      <c r="AB24" s="239"/>
      <c r="AC24" s="239"/>
    </row>
    <row r="25" spans="1:29" ht="16.5" customHeight="1">
      <c r="A25" s="356" t="s">
        <v>541</v>
      </c>
      <c r="B25" s="384" t="s">
        <v>1156</v>
      </c>
      <c r="C25" s="357">
        <v>112000</v>
      </c>
      <c r="D25" s="358">
        <v>32000</v>
      </c>
      <c r="E25" s="358">
        <v>185600</v>
      </c>
      <c r="F25" s="396">
        <f t="shared" si="3"/>
        <v>186528</v>
      </c>
      <c r="G25" s="357">
        <f t="shared" ref="G25:I26" si="23">(F25*0.5%)+F25</f>
        <v>187460.64</v>
      </c>
      <c r="H25" s="357">
        <f t="shared" si="23"/>
        <v>188397.94320000001</v>
      </c>
      <c r="I25" s="357">
        <f t="shared" si="23"/>
        <v>189339.93291600002</v>
      </c>
      <c r="J25" s="357">
        <f t="shared" si="5"/>
        <v>190286.63258058002</v>
      </c>
      <c r="K25" s="357">
        <f t="shared" ref="K25:M26" si="24">(J25*0.5%)+J25</f>
        <v>191238.0657434829</v>
      </c>
      <c r="L25" s="357">
        <f t="shared" si="24"/>
        <v>192194.25607220031</v>
      </c>
      <c r="M25" s="357">
        <f t="shared" si="24"/>
        <v>193155.22735256131</v>
      </c>
      <c r="N25" s="357">
        <f>(M25*0.5%)+M25-42321.7</f>
        <v>151799.30348932411</v>
      </c>
      <c r="O25" s="357">
        <f t="shared" si="7"/>
        <v>2000000.0013541486</v>
      </c>
      <c r="P25" s="357">
        <v>2000000</v>
      </c>
      <c r="Q25" s="252">
        <f t="shared" si="2"/>
        <v>-1.3541486114263535E-3</v>
      </c>
      <c r="R25" s="252"/>
      <c r="S25" s="252"/>
      <c r="T25" s="239"/>
      <c r="U25" s="239"/>
      <c r="V25" s="239"/>
      <c r="W25" s="239"/>
      <c r="X25" s="239"/>
      <c r="Y25" s="239"/>
      <c r="Z25" s="239"/>
      <c r="AA25" s="239"/>
      <c r="AB25" s="239"/>
      <c r="AC25" s="239"/>
    </row>
    <row r="26" spans="1:29" ht="16.5" customHeight="1">
      <c r="A26" s="356" t="s">
        <v>543</v>
      </c>
      <c r="B26" s="384" t="s">
        <v>1157</v>
      </c>
      <c r="C26" s="357">
        <v>0</v>
      </c>
      <c r="D26" s="358">
        <v>0</v>
      </c>
      <c r="E26" s="358">
        <v>97</v>
      </c>
      <c r="F26" s="396">
        <f t="shared" si="3"/>
        <v>97.484999999999999</v>
      </c>
      <c r="G26" s="357">
        <f t="shared" si="23"/>
        <v>97.972425000000001</v>
      </c>
      <c r="H26" s="357">
        <f t="shared" si="23"/>
        <v>98.462287125000003</v>
      </c>
      <c r="I26" s="357">
        <f t="shared" si="23"/>
        <v>98.954598560625001</v>
      </c>
      <c r="J26" s="357">
        <f t="shared" si="5"/>
        <v>99.449371553428122</v>
      </c>
      <c r="K26" s="357">
        <f t="shared" si="24"/>
        <v>99.94661841119526</v>
      </c>
      <c r="L26" s="357">
        <f t="shared" si="24"/>
        <v>100.44635150325124</v>
      </c>
      <c r="M26" s="357">
        <f t="shared" si="24"/>
        <v>100.94858326076749</v>
      </c>
      <c r="N26" s="357">
        <f t="shared" ref="N26" si="25">(M26*0.5%)+M26+7.88</f>
        <v>109.33332617707133</v>
      </c>
      <c r="O26" s="357">
        <f t="shared" si="7"/>
        <v>999.99856159133833</v>
      </c>
      <c r="P26" s="357">
        <v>1000</v>
      </c>
      <c r="Q26" s="252">
        <f t="shared" si="2"/>
        <v>1.4384086616701097E-3</v>
      </c>
      <c r="R26" s="252"/>
      <c r="S26" s="252"/>
      <c r="T26" s="239"/>
      <c r="U26" s="239"/>
      <c r="V26" s="239"/>
      <c r="W26" s="239"/>
      <c r="X26" s="239"/>
      <c r="Y26" s="239"/>
      <c r="Z26" s="239"/>
      <c r="AA26" s="239"/>
      <c r="AB26" s="239"/>
      <c r="AC26" s="239"/>
    </row>
    <row r="27" spans="1:29" ht="16.5" customHeight="1">
      <c r="A27" s="356" t="s">
        <v>545</v>
      </c>
      <c r="B27" s="384" t="s">
        <v>1158</v>
      </c>
      <c r="C27" s="357">
        <v>12128139</v>
      </c>
      <c r="D27" s="358">
        <v>65670981</v>
      </c>
      <c r="E27" s="358">
        <v>7050088</v>
      </c>
      <c r="F27" s="396">
        <f t="shared" si="3"/>
        <v>7085338.4400000004</v>
      </c>
      <c r="G27" s="357">
        <f t="shared" ref="G27:I27" si="26">(F27*0.5%)+F27</f>
        <v>7120765.1322000008</v>
      </c>
      <c r="H27" s="357">
        <f t="shared" si="26"/>
        <v>7156368.9578610007</v>
      </c>
      <c r="I27" s="357">
        <f t="shared" si="26"/>
        <v>7192150.8026503054</v>
      </c>
      <c r="J27" s="357">
        <f t="shared" si="5"/>
        <v>7228111.556663557</v>
      </c>
      <c r="K27" s="357">
        <f t="shared" ref="K27:M27" si="27">(J27*0.5%)+J27</f>
        <v>7264252.1144468747</v>
      </c>
      <c r="L27" s="357">
        <f t="shared" si="27"/>
        <v>7300573.3750191089</v>
      </c>
      <c r="M27" s="357">
        <f t="shared" si="27"/>
        <v>7337076.2418942042</v>
      </c>
      <c r="N27" s="357">
        <f>(M27*0.5%)+M27+92393.76</f>
        <v>7466155.3831036752</v>
      </c>
      <c r="O27" s="357">
        <f t="shared" si="7"/>
        <v>150000000.00383875</v>
      </c>
      <c r="P27" s="357">
        <v>150000000</v>
      </c>
      <c r="Q27" s="252">
        <f t="shared" si="2"/>
        <v>-3.8387477397918701E-3</v>
      </c>
      <c r="R27" s="252"/>
      <c r="S27" s="252"/>
      <c r="T27" s="239"/>
      <c r="U27" s="239"/>
      <c r="V27" s="239"/>
      <c r="W27" s="239"/>
      <c r="X27" s="239"/>
      <c r="Y27" s="239"/>
      <c r="Z27" s="239"/>
      <c r="AA27" s="239"/>
      <c r="AB27" s="239"/>
      <c r="AC27" s="239"/>
    </row>
    <row r="28" spans="1:29" ht="16.5" customHeight="1">
      <c r="A28" s="356" t="s">
        <v>547</v>
      </c>
      <c r="B28" s="384" t="s">
        <v>1159</v>
      </c>
      <c r="C28" s="357">
        <v>102159</v>
      </c>
      <c r="D28" s="358">
        <v>0</v>
      </c>
      <c r="E28" s="358">
        <v>569784</v>
      </c>
      <c r="F28" s="396">
        <f t="shared" si="3"/>
        <v>572632.92000000004</v>
      </c>
      <c r="G28" s="357">
        <f t="shared" ref="G28:I28" si="28">(F28*0.5%)+F28</f>
        <v>575496.08460000006</v>
      </c>
      <c r="H28" s="357">
        <f t="shared" si="28"/>
        <v>578373.565023</v>
      </c>
      <c r="I28" s="357">
        <f t="shared" si="28"/>
        <v>581265.43284811499</v>
      </c>
      <c r="J28" s="357">
        <f t="shared" si="5"/>
        <v>584171.76001235552</v>
      </c>
      <c r="K28" s="357">
        <f t="shared" ref="K28:M28" si="29">(J28*0.5%)+J28</f>
        <v>587092.61881241726</v>
      </c>
      <c r="L28" s="357">
        <f t="shared" si="29"/>
        <v>590028.08190647932</v>
      </c>
      <c r="M28" s="357">
        <f t="shared" si="29"/>
        <v>592978.22231601167</v>
      </c>
      <c r="N28" s="357">
        <f>(M28*0.5%)+M28+70075.2</f>
        <v>666018.3134275917</v>
      </c>
      <c r="O28" s="357">
        <f t="shared" si="7"/>
        <v>5999999.9989459701</v>
      </c>
      <c r="P28" s="357">
        <v>6000000</v>
      </c>
      <c r="Q28" s="252">
        <f t="shared" si="2"/>
        <v>1.0540299117565155E-3</v>
      </c>
      <c r="R28" s="252"/>
      <c r="S28" s="252"/>
      <c r="T28" s="239"/>
      <c r="U28" s="239"/>
      <c r="V28" s="239"/>
      <c r="W28" s="239"/>
      <c r="X28" s="239"/>
      <c r="Y28" s="239"/>
      <c r="Z28" s="239"/>
      <c r="AA28" s="239"/>
      <c r="AB28" s="239"/>
      <c r="AC28" s="239"/>
    </row>
    <row r="29" spans="1:29" ht="16.5" customHeight="1">
      <c r="A29" s="356" t="s">
        <v>549</v>
      </c>
      <c r="B29" s="384" t="s">
        <v>1160</v>
      </c>
      <c r="C29" s="357">
        <v>173424</v>
      </c>
      <c r="D29" s="358">
        <v>258697</v>
      </c>
      <c r="E29" s="358">
        <v>54787</v>
      </c>
      <c r="F29" s="396">
        <f t="shared" si="3"/>
        <v>55060.934999999998</v>
      </c>
      <c r="G29" s="357">
        <f t="shared" ref="G29:I29" si="30">(F29*0.5%)+F29</f>
        <v>55336.239674999997</v>
      </c>
      <c r="H29" s="357">
        <f t="shared" si="30"/>
        <v>55612.920873374998</v>
      </c>
      <c r="I29" s="357">
        <f t="shared" si="30"/>
        <v>55890.985477741873</v>
      </c>
      <c r="J29" s="357">
        <f t="shared" si="5"/>
        <v>56170.440405130583</v>
      </c>
      <c r="K29" s="357">
        <f t="shared" ref="K29:M29" si="31">(J29*0.5%)+J29</f>
        <v>56451.292607156232</v>
      </c>
      <c r="L29" s="357">
        <f t="shared" si="31"/>
        <v>56733.549070192013</v>
      </c>
      <c r="M29" s="357">
        <f t="shared" si="31"/>
        <v>57017.216815542975</v>
      </c>
      <c r="N29" s="357">
        <f>(M29*0.5%)+M29+7516.12</f>
        <v>64818.422899620695</v>
      </c>
      <c r="O29" s="357">
        <f t="shared" si="7"/>
        <v>1000000.0028237596</v>
      </c>
      <c r="P29" s="357">
        <v>1000000</v>
      </c>
      <c r="Q29" s="252">
        <f t="shared" si="2"/>
        <v>-2.8237595688551664E-3</v>
      </c>
      <c r="R29" s="252"/>
      <c r="S29" s="252"/>
      <c r="T29" s="239"/>
      <c r="U29" s="239"/>
      <c r="V29" s="239"/>
      <c r="W29" s="239"/>
      <c r="X29" s="239"/>
      <c r="Y29" s="239"/>
      <c r="Z29" s="239"/>
      <c r="AA29" s="239"/>
      <c r="AB29" s="239"/>
      <c r="AC29" s="239"/>
    </row>
    <row r="30" spans="1:29" ht="16.5" customHeight="1">
      <c r="A30" s="359" t="s">
        <v>947</v>
      </c>
      <c r="B30" s="385" t="s">
        <v>1161</v>
      </c>
      <c r="C30" s="360">
        <f>SUM(C31:C37)</f>
        <v>9650909</v>
      </c>
      <c r="D30" s="360">
        <f t="shared" ref="D30:O30" si="32">SUM(D31:D37)</f>
        <v>17756868</v>
      </c>
      <c r="E30" s="360">
        <f t="shared" si="32"/>
        <v>5496001</v>
      </c>
      <c r="F30" s="397">
        <f t="shared" si="32"/>
        <v>5523481.0049999999</v>
      </c>
      <c r="G30" s="360">
        <f t="shared" si="32"/>
        <v>5551098.4100250006</v>
      </c>
      <c r="H30" s="360">
        <f t="shared" si="32"/>
        <v>5578853.9020751258</v>
      </c>
      <c r="I30" s="360">
        <f t="shared" si="32"/>
        <v>5606748.1715855002</v>
      </c>
      <c r="J30" s="360">
        <f t="shared" si="32"/>
        <v>5634781.9124434283</v>
      </c>
      <c r="K30" s="360">
        <f t="shared" si="32"/>
        <v>5662955.8220056454</v>
      </c>
      <c r="L30" s="360">
        <f t="shared" si="32"/>
        <v>5691270.6011156747</v>
      </c>
      <c r="M30" s="360">
        <f t="shared" si="32"/>
        <v>5719726.9541212525</v>
      </c>
      <c r="N30" s="360">
        <f t="shared" si="32"/>
        <v>5313414.2188918591</v>
      </c>
      <c r="O30" s="360">
        <f t="shared" si="32"/>
        <v>83186108.997263476</v>
      </c>
      <c r="P30" s="369"/>
      <c r="Q30" s="239"/>
      <c r="R30" s="252"/>
      <c r="S30" s="252"/>
      <c r="T30" s="239"/>
      <c r="U30" s="239"/>
      <c r="V30" s="239"/>
      <c r="W30" s="239"/>
      <c r="X30" s="239"/>
      <c r="Y30" s="239"/>
      <c r="Z30" s="239"/>
      <c r="AA30" s="239"/>
      <c r="AB30" s="239"/>
      <c r="AC30" s="239"/>
    </row>
    <row r="31" spans="1:29" ht="16.5" customHeight="1">
      <c r="A31" s="356" t="s">
        <v>948</v>
      </c>
      <c r="B31" s="384" t="s">
        <v>1162</v>
      </c>
      <c r="C31" s="361">
        <v>0</v>
      </c>
      <c r="D31" s="358">
        <v>0</v>
      </c>
      <c r="E31" s="357">
        <v>905085</v>
      </c>
      <c r="F31" s="396">
        <f t="shared" si="3"/>
        <v>909610.42500000005</v>
      </c>
      <c r="G31" s="357">
        <f t="shared" ref="G31:I31" si="33">(F31*0.5%)+F31</f>
        <v>914158.47712500009</v>
      </c>
      <c r="H31" s="357">
        <f t="shared" si="33"/>
        <v>918729.26951062505</v>
      </c>
      <c r="I31" s="357">
        <f t="shared" si="33"/>
        <v>923322.91585817817</v>
      </c>
      <c r="J31" s="357">
        <f t="shared" si="5"/>
        <v>927939.53043746902</v>
      </c>
      <c r="K31" s="357">
        <f t="shared" ref="K31:M31" si="34">(J31*0.5%)+J31</f>
        <v>932579.22808965633</v>
      </c>
      <c r="L31" s="357">
        <f t="shared" si="34"/>
        <v>937242.12423010461</v>
      </c>
      <c r="M31" s="357">
        <f t="shared" si="34"/>
        <v>941928.33485125517</v>
      </c>
      <c r="N31" s="357">
        <f>(M31*0.5%)+M31-6381.28</f>
        <v>940256.69652551145</v>
      </c>
      <c r="O31" s="357">
        <f t="shared" ref="O31:O37" si="35">SUM(C31:N31)</f>
        <v>9250852.001627801</v>
      </c>
      <c r="P31" s="357">
        <v>9250852</v>
      </c>
      <c r="Q31" s="252">
        <f t="shared" si="2"/>
        <v>-1.6278009861707687E-3</v>
      </c>
      <c r="R31" s="252"/>
      <c r="S31" s="252"/>
      <c r="T31" s="239"/>
      <c r="U31" s="239"/>
      <c r="V31" s="239"/>
      <c r="W31" s="239"/>
      <c r="X31" s="239"/>
      <c r="Y31" s="239"/>
      <c r="Z31" s="239"/>
      <c r="AA31" s="239"/>
      <c r="AB31" s="239"/>
      <c r="AC31" s="239"/>
    </row>
    <row r="32" spans="1:29" ht="16.5" customHeight="1">
      <c r="A32" s="356" t="s">
        <v>949</v>
      </c>
      <c r="B32" s="384" t="s">
        <v>1163</v>
      </c>
      <c r="C32" s="361">
        <v>603000</v>
      </c>
      <c r="D32" s="358">
        <v>755500</v>
      </c>
      <c r="E32" s="357">
        <v>1292705</v>
      </c>
      <c r="F32" s="396">
        <f t="shared" si="3"/>
        <v>1299168.5249999999</v>
      </c>
      <c r="G32" s="357">
        <f t="shared" ref="G32:I32" si="36">(F32*0.5%)+F32</f>
        <v>1305664.367625</v>
      </c>
      <c r="H32" s="357">
        <f t="shared" si="36"/>
        <v>1312192.6894631248</v>
      </c>
      <c r="I32" s="357">
        <f t="shared" si="36"/>
        <v>1318753.6529104405</v>
      </c>
      <c r="J32" s="357">
        <f t="shared" si="5"/>
        <v>1325347.4211749926</v>
      </c>
      <c r="K32" s="357">
        <f t="shared" ref="K32:M32" si="37">(J32*0.5%)+J32</f>
        <v>1331974.1582808676</v>
      </c>
      <c r="L32" s="357">
        <f t="shared" si="37"/>
        <v>1338634.0290722719</v>
      </c>
      <c r="M32" s="357">
        <f t="shared" si="37"/>
        <v>1345327.1992176333</v>
      </c>
      <c r="N32" s="357">
        <f>(M32*0.5%)+M32-294761.88</f>
        <v>1057291.9552137214</v>
      </c>
      <c r="O32" s="357">
        <f t="shared" si="35"/>
        <v>14285558.997958053</v>
      </c>
      <c r="P32" s="357">
        <v>14285559</v>
      </c>
      <c r="Q32" s="252">
        <f t="shared" si="2"/>
        <v>2.0419470965862274E-3</v>
      </c>
      <c r="R32" s="252"/>
      <c r="S32" s="252"/>
      <c r="T32" s="239"/>
      <c r="U32" s="239"/>
      <c r="V32" s="239"/>
      <c r="W32" s="239"/>
      <c r="X32" s="239"/>
      <c r="Y32" s="239"/>
      <c r="Z32" s="239"/>
      <c r="AA32" s="239"/>
      <c r="AB32" s="239"/>
      <c r="AC32" s="239"/>
    </row>
    <row r="33" spans="1:29" ht="16.5" customHeight="1">
      <c r="A33" s="356" t="s">
        <v>950</v>
      </c>
      <c r="B33" s="384" t="s">
        <v>1164</v>
      </c>
      <c r="C33" s="361">
        <v>2200000</v>
      </c>
      <c r="D33" s="358">
        <v>3985000</v>
      </c>
      <c r="E33" s="357"/>
      <c r="F33" s="396">
        <f t="shared" si="3"/>
        <v>0</v>
      </c>
      <c r="G33" s="357">
        <f t="shared" ref="G33:I33" si="38">(F33*0.5%)+F33</f>
        <v>0</v>
      </c>
      <c r="H33" s="357">
        <f t="shared" si="38"/>
        <v>0</v>
      </c>
      <c r="I33" s="357">
        <f t="shared" si="38"/>
        <v>0</v>
      </c>
      <c r="J33" s="357">
        <f t="shared" si="5"/>
        <v>0</v>
      </c>
      <c r="K33" s="357">
        <f t="shared" ref="K33:N33" si="39">(J33*0.5%)+J33</f>
        <v>0</v>
      </c>
      <c r="L33" s="357">
        <f t="shared" si="39"/>
        <v>0</v>
      </c>
      <c r="M33" s="357">
        <f t="shared" si="39"/>
        <v>0</v>
      </c>
      <c r="N33" s="357">
        <f t="shared" si="39"/>
        <v>0</v>
      </c>
      <c r="O33" s="357">
        <f t="shared" si="35"/>
        <v>6185000</v>
      </c>
      <c r="P33" s="357">
        <v>6120000</v>
      </c>
      <c r="Q33" s="252">
        <f t="shared" si="2"/>
        <v>-65000</v>
      </c>
      <c r="R33" s="252"/>
      <c r="S33" s="252"/>
      <c r="T33" s="239"/>
      <c r="U33" s="239"/>
      <c r="V33" s="239"/>
      <c r="W33" s="239"/>
      <c r="X33" s="239"/>
      <c r="Y33" s="239"/>
      <c r="Z33" s="239"/>
      <c r="AA33" s="239"/>
      <c r="AB33" s="239"/>
      <c r="AC33" s="239"/>
    </row>
    <row r="34" spans="1:29" ht="16.5" customHeight="1">
      <c r="A34" s="356" t="s">
        <v>951</v>
      </c>
      <c r="B34" s="384" t="s">
        <v>1165</v>
      </c>
      <c r="C34" s="361">
        <v>753111</v>
      </c>
      <c r="D34" s="358">
        <v>0</v>
      </c>
      <c r="E34" s="357">
        <v>1257230</v>
      </c>
      <c r="F34" s="396">
        <f t="shared" si="3"/>
        <v>1263516.1499999999</v>
      </c>
      <c r="G34" s="357">
        <f t="shared" ref="G34:I34" si="40">(F34*0.5%)+F34</f>
        <v>1269833.7307499999</v>
      </c>
      <c r="H34" s="357">
        <f t="shared" si="40"/>
        <v>1276182.89940375</v>
      </c>
      <c r="I34" s="357">
        <f t="shared" si="40"/>
        <v>1282563.8139007688</v>
      </c>
      <c r="J34" s="357">
        <f t="shared" si="5"/>
        <v>1288976.6329702726</v>
      </c>
      <c r="K34" s="357">
        <f t="shared" ref="K34:M34" si="41">(J34*0.5%)+J34</f>
        <v>1295421.516135124</v>
      </c>
      <c r="L34" s="357">
        <f t="shared" si="41"/>
        <v>1301898.6237157995</v>
      </c>
      <c r="M34" s="357">
        <f t="shared" si="41"/>
        <v>1308408.1168343786</v>
      </c>
      <c r="N34" s="357">
        <f>(M34*0.5%)+M34+13322.36</f>
        <v>1328272.5174185506</v>
      </c>
      <c r="O34" s="357">
        <f t="shared" si="35"/>
        <v>13625415.001128642</v>
      </c>
      <c r="P34" s="357">
        <v>13625415</v>
      </c>
      <c r="Q34" s="252">
        <f t="shared" si="2"/>
        <v>-1.1286418884992599E-3</v>
      </c>
      <c r="R34" s="252"/>
      <c r="S34" s="252"/>
      <c r="T34" s="239"/>
      <c r="U34" s="239"/>
      <c r="V34" s="239"/>
      <c r="W34" s="239"/>
      <c r="X34" s="239"/>
      <c r="Y34" s="239"/>
      <c r="Z34" s="239"/>
      <c r="AA34" s="239"/>
      <c r="AB34" s="239"/>
      <c r="AC34" s="239"/>
    </row>
    <row r="35" spans="1:29" ht="16.5" customHeight="1">
      <c r="A35" s="356" t="s">
        <v>952</v>
      </c>
      <c r="B35" s="384" t="s">
        <v>1166</v>
      </c>
      <c r="C35" s="361">
        <v>241017</v>
      </c>
      <c r="D35" s="358">
        <v>7276868</v>
      </c>
      <c r="E35" s="357">
        <v>500981</v>
      </c>
      <c r="F35" s="396">
        <f t="shared" si="3"/>
        <v>503485.90500000003</v>
      </c>
      <c r="G35" s="357">
        <f t="shared" ref="G35:I35" si="42">(F35*0.5%)+F35</f>
        <v>506003.33452500001</v>
      </c>
      <c r="H35" s="357">
        <f t="shared" si="42"/>
        <v>508533.35119762499</v>
      </c>
      <c r="I35" s="357">
        <f t="shared" si="42"/>
        <v>511076.01795361313</v>
      </c>
      <c r="J35" s="357">
        <f t="shared" si="5"/>
        <v>513631.39804338122</v>
      </c>
      <c r="K35" s="357">
        <f t="shared" ref="K35:M35" si="43">(J35*0.5%)+J35</f>
        <v>516199.55503359815</v>
      </c>
      <c r="L35" s="357">
        <f t="shared" si="43"/>
        <v>518780.55280876614</v>
      </c>
      <c r="M35" s="357">
        <f t="shared" si="43"/>
        <v>521374.45557280997</v>
      </c>
      <c r="N35" s="357">
        <f>(M35*0.5%)+M35-84229.9</f>
        <v>439751.42785067402</v>
      </c>
      <c r="O35" s="357">
        <f t="shared" si="35"/>
        <v>12557701.997985467</v>
      </c>
      <c r="P35" s="357">
        <v>12557702</v>
      </c>
      <c r="Q35" s="252">
        <f t="shared" si="2"/>
        <v>2.0145326852798462E-3</v>
      </c>
      <c r="R35" s="252"/>
      <c r="S35" s="252"/>
      <c r="T35" s="239"/>
      <c r="U35" s="239"/>
      <c r="V35" s="239"/>
      <c r="W35" s="239"/>
      <c r="X35" s="239"/>
      <c r="Y35" s="239"/>
      <c r="Z35" s="239"/>
      <c r="AA35" s="239"/>
      <c r="AB35" s="239"/>
      <c r="AC35" s="239"/>
    </row>
    <row r="36" spans="1:29" ht="16.5" customHeight="1">
      <c r="A36" s="356" t="s">
        <v>953</v>
      </c>
      <c r="B36" s="384" t="s">
        <v>1167</v>
      </c>
      <c r="C36" s="361">
        <v>1536881</v>
      </c>
      <c r="D36" s="358">
        <v>599600</v>
      </c>
      <c r="E36" s="357">
        <v>1050000</v>
      </c>
      <c r="F36" s="396">
        <f t="shared" si="3"/>
        <v>1055250</v>
      </c>
      <c r="G36" s="357">
        <f t="shared" ref="G36:I36" si="44">(F36*0.5%)+F36</f>
        <v>1060526.25</v>
      </c>
      <c r="H36" s="357">
        <f t="shared" si="44"/>
        <v>1065828.8812500001</v>
      </c>
      <c r="I36" s="357">
        <f t="shared" si="44"/>
        <v>1071158.0256562501</v>
      </c>
      <c r="J36" s="357">
        <f t="shared" si="5"/>
        <v>1076513.8157845314</v>
      </c>
      <c r="K36" s="357">
        <f t="shared" ref="K36:M36" si="45">(J36*0.5%)+J36</f>
        <v>1081896.3848634542</v>
      </c>
      <c r="L36" s="357">
        <f t="shared" si="45"/>
        <v>1087305.8667877715</v>
      </c>
      <c r="M36" s="357">
        <f t="shared" si="45"/>
        <v>1092742.3961217103</v>
      </c>
      <c r="N36" s="357">
        <f>(M36*0.5%)+M36+11672.27</f>
        <v>1109878.3781023188</v>
      </c>
      <c r="O36" s="357">
        <f t="shared" si="35"/>
        <v>12887580.998566037</v>
      </c>
      <c r="P36" s="357">
        <v>12887581</v>
      </c>
      <c r="Q36" s="252"/>
      <c r="R36" s="252"/>
      <c r="S36" s="252"/>
      <c r="T36" s="239"/>
      <c r="U36" s="239"/>
      <c r="V36" s="239"/>
      <c r="W36" s="239"/>
      <c r="X36" s="239"/>
      <c r="Y36" s="239"/>
      <c r="Z36" s="239"/>
      <c r="AA36" s="239"/>
      <c r="AB36" s="239"/>
      <c r="AC36" s="239"/>
    </row>
    <row r="37" spans="1:29" ht="16.5" customHeight="1">
      <c r="A37" s="356" t="s">
        <v>1168</v>
      </c>
      <c r="B37" s="384" t="s">
        <v>1169</v>
      </c>
      <c r="C37" s="361">
        <v>4316900</v>
      </c>
      <c r="D37" s="358">
        <v>5139900</v>
      </c>
      <c r="E37" s="357">
        <v>490000</v>
      </c>
      <c r="F37" s="396">
        <f t="shared" si="3"/>
        <v>492450</v>
      </c>
      <c r="G37" s="357">
        <f t="shared" ref="G37:I39" si="46">(F37*0.5%)+F37</f>
        <v>494912.25</v>
      </c>
      <c r="H37" s="357">
        <f t="shared" si="46"/>
        <v>497386.81125000003</v>
      </c>
      <c r="I37" s="357">
        <f t="shared" si="46"/>
        <v>499873.74530625006</v>
      </c>
      <c r="J37" s="357">
        <f t="shared" si="5"/>
        <v>502373.11403278133</v>
      </c>
      <c r="K37" s="357">
        <f t="shared" ref="K37:M39" si="47">(J37*0.5%)+J37</f>
        <v>504884.97960294521</v>
      </c>
      <c r="L37" s="357">
        <f t="shared" si="47"/>
        <v>507409.40450095996</v>
      </c>
      <c r="M37" s="357">
        <f t="shared" si="47"/>
        <v>509946.45152346476</v>
      </c>
      <c r="N37" s="357">
        <f>(M37*0.5%)+M37-74532.94</f>
        <v>437963.2437810821</v>
      </c>
      <c r="O37" s="357">
        <f t="shared" si="35"/>
        <v>14393999.999997482</v>
      </c>
      <c r="P37" s="357">
        <v>14394000</v>
      </c>
      <c r="Q37" s="252"/>
      <c r="R37" s="252"/>
      <c r="S37" s="252"/>
      <c r="T37" s="239"/>
      <c r="U37" s="239"/>
      <c r="V37" s="239"/>
      <c r="W37" s="239"/>
      <c r="X37" s="239"/>
      <c r="Y37" s="239"/>
      <c r="Z37" s="239"/>
      <c r="AA37" s="239"/>
      <c r="AB37" s="239"/>
      <c r="AC37" s="239"/>
    </row>
    <row r="38" spans="1:29" ht="16.5" customHeight="1">
      <c r="A38" s="359" t="s">
        <v>1170</v>
      </c>
      <c r="B38" s="385" t="s">
        <v>1171</v>
      </c>
      <c r="C38" s="360">
        <f>SUM(C39:C50)</f>
        <v>0</v>
      </c>
      <c r="D38" s="360">
        <f t="shared" ref="D38:O38" si="48">SUM(D39:D50)</f>
        <v>0</v>
      </c>
      <c r="E38" s="360">
        <f t="shared" si="48"/>
        <v>1003060</v>
      </c>
      <c r="F38" s="397">
        <f t="shared" si="48"/>
        <v>1008075.3</v>
      </c>
      <c r="G38" s="360">
        <f t="shared" si="48"/>
        <v>1013115.6765000002</v>
      </c>
      <c r="H38" s="360">
        <f t="shared" si="48"/>
        <v>1018181.2548824999</v>
      </c>
      <c r="I38" s="360">
        <f t="shared" si="48"/>
        <v>1023272.1611569126</v>
      </c>
      <c r="J38" s="360">
        <f t="shared" si="48"/>
        <v>1028388.521962697</v>
      </c>
      <c r="K38" s="360">
        <f t="shared" si="48"/>
        <v>1033530.4645725106</v>
      </c>
      <c r="L38" s="360">
        <f t="shared" si="48"/>
        <v>1038698.1168953731</v>
      </c>
      <c r="M38" s="360">
        <f t="shared" si="48"/>
        <v>1043891.6074798498</v>
      </c>
      <c r="N38" s="360">
        <f t="shared" si="48"/>
        <v>1016881.9055172493</v>
      </c>
      <c r="O38" s="360">
        <f t="shared" si="48"/>
        <v>10227095.008967092</v>
      </c>
      <c r="P38" s="369"/>
      <c r="Q38" s="239"/>
      <c r="R38" s="252"/>
      <c r="S38" s="252"/>
      <c r="T38" s="239"/>
      <c r="U38" s="239"/>
      <c r="V38" s="239"/>
      <c r="W38" s="239"/>
      <c r="X38" s="239"/>
      <c r="Y38" s="239"/>
      <c r="Z38" s="239"/>
      <c r="AA38" s="239"/>
      <c r="AB38" s="239"/>
      <c r="AC38" s="239"/>
    </row>
    <row r="39" spans="1:29" ht="16.5" customHeight="1">
      <c r="A39" s="356" t="s">
        <v>1172</v>
      </c>
      <c r="B39" s="384" t="s">
        <v>1173</v>
      </c>
      <c r="C39" s="357"/>
      <c r="D39" s="357"/>
      <c r="E39" s="357">
        <v>170000</v>
      </c>
      <c r="F39" s="396">
        <f t="shared" si="3"/>
        <v>170850</v>
      </c>
      <c r="G39" s="357">
        <f t="shared" si="46"/>
        <v>171704.25</v>
      </c>
      <c r="H39" s="357">
        <f t="shared" si="46"/>
        <v>172562.77124999999</v>
      </c>
      <c r="I39" s="357">
        <f t="shared" si="46"/>
        <v>173425.58510624999</v>
      </c>
      <c r="J39" s="357">
        <f t="shared" si="5"/>
        <v>174292.71303178123</v>
      </c>
      <c r="K39" s="357">
        <f t="shared" si="47"/>
        <v>175164.17659694015</v>
      </c>
      <c r="L39" s="357">
        <f t="shared" si="47"/>
        <v>176039.99747992484</v>
      </c>
      <c r="M39" s="357">
        <f t="shared" si="47"/>
        <v>176920.19746732447</v>
      </c>
      <c r="N39" s="357">
        <f>(M39*0.5%)+M39-13231.49</f>
        <v>164573.30845466111</v>
      </c>
      <c r="O39" s="357">
        <f t="shared" ref="O39:O50" si="49">SUM(C39:N39)</f>
        <v>1725532.9993868822</v>
      </c>
      <c r="P39" s="357">
        <v>1725533</v>
      </c>
      <c r="Q39" s="252"/>
      <c r="R39" s="252"/>
      <c r="S39" s="252"/>
      <c r="T39" s="239"/>
      <c r="U39" s="239"/>
      <c r="V39" s="239"/>
      <c r="W39" s="239"/>
      <c r="X39" s="239"/>
      <c r="Y39" s="239"/>
      <c r="Z39" s="239"/>
      <c r="AA39" s="239"/>
      <c r="AB39" s="239"/>
      <c r="AC39" s="239"/>
    </row>
    <row r="40" spans="1:29" ht="16.5" customHeight="1">
      <c r="A40" s="356" t="s">
        <v>1174</v>
      </c>
      <c r="B40" s="384" t="s">
        <v>1175</v>
      </c>
      <c r="C40" s="357"/>
      <c r="D40" s="357"/>
      <c r="E40" s="357">
        <v>127000</v>
      </c>
      <c r="F40" s="396">
        <f t="shared" si="3"/>
        <v>127635</v>
      </c>
      <c r="G40" s="357">
        <f t="shared" ref="G40:I40" si="50">(F40*0.5%)+F40</f>
        <v>128273.175</v>
      </c>
      <c r="H40" s="357">
        <f t="shared" si="50"/>
        <v>128914.54087500001</v>
      </c>
      <c r="I40" s="357">
        <f t="shared" si="50"/>
        <v>129559.113579375</v>
      </c>
      <c r="J40" s="357">
        <f t="shared" si="5"/>
        <v>130206.90914727187</v>
      </c>
      <c r="K40" s="357">
        <f t="shared" ref="K40:M40" si="51">(J40*0.5%)+J40</f>
        <v>130857.94369300823</v>
      </c>
      <c r="L40" s="357">
        <f t="shared" si="51"/>
        <v>131512.23341147328</v>
      </c>
      <c r="M40" s="357">
        <f t="shared" si="51"/>
        <v>132169.79457853065</v>
      </c>
      <c r="N40" s="357">
        <f>(M40*0.5%)+M40+9275.65</f>
        <v>142106.2935514233</v>
      </c>
      <c r="O40" s="357">
        <f t="shared" si="49"/>
        <v>1308235.0038360823</v>
      </c>
      <c r="P40" s="357">
        <v>1308235</v>
      </c>
      <c r="Q40" s="252"/>
      <c r="R40" s="252"/>
      <c r="S40" s="252"/>
      <c r="T40" s="239"/>
      <c r="U40" s="239"/>
      <c r="V40" s="239"/>
      <c r="W40" s="239"/>
      <c r="X40" s="239"/>
      <c r="Y40" s="239"/>
      <c r="Z40" s="239"/>
      <c r="AA40" s="239"/>
      <c r="AB40" s="239"/>
      <c r="AC40" s="239"/>
    </row>
    <row r="41" spans="1:29" ht="16.5" customHeight="1">
      <c r="A41" s="356" t="s">
        <v>1176</v>
      </c>
      <c r="B41" s="384" t="s">
        <v>1177</v>
      </c>
      <c r="C41" s="357"/>
      <c r="D41" s="357"/>
      <c r="E41" s="357">
        <v>55000</v>
      </c>
      <c r="F41" s="396">
        <f t="shared" si="3"/>
        <v>55275</v>
      </c>
      <c r="G41" s="357">
        <f t="shared" ref="G41:I41" si="52">(F41*0.5%)+F41</f>
        <v>55551.375</v>
      </c>
      <c r="H41" s="357">
        <f t="shared" si="52"/>
        <v>55829.131874999999</v>
      </c>
      <c r="I41" s="357">
        <f t="shared" si="52"/>
        <v>56108.277534374996</v>
      </c>
      <c r="J41" s="357">
        <f t="shared" si="5"/>
        <v>56388.81892204687</v>
      </c>
      <c r="K41" s="357">
        <f t="shared" ref="K41:M41" si="53">(J41*0.5%)+J41</f>
        <v>56670.763016657103</v>
      </c>
      <c r="L41" s="357">
        <f t="shared" si="53"/>
        <v>56954.116831740386</v>
      </c>
      <c r="M41" s="357">
        <f t="shared" si="53"/>
        <v>57238.887415899088</v>
      </c>
      <c r="N41" s="357">
        <f>(M41*0.5%)+M41-258.45</f>
        <v>57266.631852978586</v>
      </c>
      <c r="O41" s="357">
        <f t="shared" si="49"/>
        <v>562283.00244869699</v>
      </c>
      <c r="P41" s="357">
        <v>562283</v>
      </c>
      <c r="Q41" s="252"/>
      <c r="R41" s="252"/>
      <c r="S41" s="252"/>
      <c r="T41" s="239"/>
      <c r="U41" s="239"/>
      <c r="V41" s="239"/>
      <c r="W41" s="239"/>
      <c r="X41" s="239"/>
      <c r="Y41" s="239"/>
      <c r="Z41" s="239"/>
      <c r="AA41" s="239"/>
      <c r="AB41" s="239"/>
      <c r="AC41" s="239"/>
    </row>
    <row r="42" spans="1:29" ht="16.5" customHeight="1">
      <c r="A42" s="356" t="s">
        <v>1178</v>
      </c>
      <c r="B42" s="384" t="s">
        <v>1179</v>
      </c>
      <c r="C42" s="357"/>
      <c r="D42" s="357"/>
      <c r="E42" s="357">
        <v>30000</v>
      </c>
      <c r="F42" s="396">
        <f t="shared" si="3"/>
        <v>30150</v>
      </c>
      <c r="G42" s="357">
        <f t="shared" ref="G42:I42" si="54">(F42*0.5%)+F42</f>
        <v>30300.75</v>
      </c>
      <c r="H42" s="357">
        <f t="shared" si="54"/>
        <v>30452.25375</v>
      </c>
      <c r="I42" s="357">
        <f t="shared" si="54"/>
        <v>30604.51501875</v>
      </c>
      <c r="J42" s="357">
        <f t="shared" si="5"/>
        <v>30757.53759384375</v>
      </c>
      <c r="K42" s="357">
        <f t="shared" ref="K42:M42" si="55">(J42*0.5%)+J42</f>
        <v>30911.325281812969</v>
      </c>
      <c r="L42" s="357">
        <f t="shared" si="55"/>
        <v>31065.881908222036</v>
      </c>
      <c r="M42" s="357">
        <f t="shared" si="55"/>
        <v>31221.211317763147</v>
      </c>
      <c r="N42" s="357">
        <f>(M42*0.5%)+M42+1958.21</f>
        <v>33335.527374351965</v>
      </c>
      <c r="O42" s="357">
        <f t="shared" si="49"/>
        <v>308799.00224474393</v>
      </c>
      <c r="P42" s="357">
        <v>308799</v>
      </c>
      <c r="Q42" s="252"/>
      <c r="R42" s="252"/>
      <c r="S42" s="252"/>
      <c r="T42" s="239"/>
      <c r="U42" s="239"/>
      <c r="V42" s="239"/>
      <c r="W42" s="239"/>
      <c r="X42" s="239"/>
      <c r="Y42" s="239"/>
      <c r="Z42" s="239"/>
      <c r="AA42" s="239"/>
      <c r="AB42" s="239"/>
      <c r="AC42" s="239"/>
    </row>
    <row r="43" spans="1:29" ht="16.5" customHeight="1">
      <c r="A43" s="356" t="s">
        <v>1180</v>
      </c>
      <c r="B43" s="384" t="s">
        <v>1181</v>
      </c>
      <c r="C43" s="357"/>
      <c r="D43" s="357"/>
      <c r="E43" s="357">
        <v>18500</v>
      </c>
      <c r="F43" s="396">
        <f t="shared" si="3"/>
        <v>18592.5</v>
      </c>
      <c r="G43" s="357">
        <f t="shared" ref="G43:I43" si="56">(F43*0.5%)+F43</f>
        <v>18685.462500000001</v>
      </c>
      <c r="H43" s="357">
        <f t="shared" si="56"/>
        <v>18778.889812500001</v>
      </c>
      <c r="I43" s="357">
        <f t="shared" si="56"/>
        <v>18872.784261562501</v>
      </c>
      <c r="J43" s="357">
        <f t="shared" si="5"/>
        <v>18967.148182870314</v>
      </c>
      <c r="K43" s="357">
        <f t="shared" ref="K43:M43" si="57">(J43*0.5%)+J43</f>
        <v>19061.983923784665</v>
      </c>
      <c r="L43" s="357">
        <f t="shared" si="57"/>
        <v>19157.29384340359</v>
      </c>
      <c r="M43" s="357">
        <f t="shared" si="57"/>
        <v>19253.080312620608</v>
      </c>
      <c r="N43" s="357">
        <f>(M43*0.5%)+M43+2153.51</f>
        <v>21502.855714183708</v>
      </c>
      <c r="O43" s="357">
        <f t="shared" si="49"/>
        <v>191371.9985509254</v>
      </c>
      <c r="P43" s="357">
        <v>191372</v>
      </c>
      <c r="Q43" s="252"/>
      <c r="R43" s="252"/>
      <c r="S43" s="252"/>
      <c r="T43" s="239"/>
      <c r="U43" s="239"/>
      <c r="V43" s="239"/>
      <c r="W43" s="239"/>
      <c r="X43" s="239"/>
      <c r="Y43" s="239"/>
      <c r="Z43" s="239"/>
      <c r="AA43" s="239"/>
      <c r="AB43" s="239"/>
      <c r="AC43" s="239"/>
    </row>
    <row r="44" spans="1:29" ht="16.5" customHeight="1">
      <c r="A44" s="356" t="s">
        <v>1182</v>
      </c>
      <c r="B44" s="384" t="s">
        <v>1183</v>
      </c>
      <c r="C44" s="357"/>
      <c r="D44" s="357"/>
      <c r="E44" s="357">
        <v>13700</v>
      </c>
      <c r="F44" s="396">
        <f t="shared" si="3"/>
        <v>13768.5</v>
      </c>
      <c r="G44" s="357">
        <f t="shared" ref="G44:I44" si="58">(F44*0.5%)+F44</f>
        <v>13837.342500000001</v>
      </c>
      <c r="H44" s="357">
        <f t="shared" si="58"/>
        <v>13906.529212500001</v>
      </c>
      <c r="I44" s="357">
        <f t="shared" si="58"/>
        <v>13976.061858562502</v>
      </c>
      <c r="J44" s="357">
        <f t="shared" si="5"/>
        <v>14045.942167855314</v>
      </c>
      <c r="K44" s="357">
        <f t="shared" ref="K44:M44" si="59">(J44*0.5%)+J44</f>
        <v>14116.171878694589</v>
      </c>
      <c r="L44" s="357">
        <f t="shared" si="59"/>
        <v>14186.752738088062</v>
      </c>
      <c r="M44" s="357">
        <f t="shared" si="59"/>
        <v>14257.686501778502</v>
      </c>
      <c r="N44" s="357">
        <f>(M44*0.5%)+M44+1454.04</f>
        <v>15783.014934287396</v>
      </c>
      <c r="O44" s="357">
        <f t="shared" si="49"/>
        <v>141578.00179176638</v>
      </c>
      <c r="P44" s="357">
        <v>141578</v>
      </c>
      <c r="Q44" s="252"/>
      <c r="R44" s="252"/>
      <c r="S44" s="252"/>
      <c r="T44" s="239"/>
      <c r="U44" s="239"/>
      <c r="V44" s="239"/>
      <c r="W44" s="239"/>
      <c r="X44" s="239"/>
      <c r="Y44" s="239"/>
      <c r="Z44" s="239"/>
      <c r="AA44" s="239"/>
      <c r="AB44" s="239"/>
      <c r="AC44" s="239"/>
    </row>
    <row r="45" spans="1:29" ht="16.5" customHeight="1">
      <c r="A45" s="356" t="s">
        <v>1184</v>
      </c>
      <c r="B45" s="384" t="s">
        <v>1185</v>
      </c>
      <c r="C45" s="357"/>
      <c r="D45" s="357"/>
      <c r="E45" s="357">
        <v>41000</v>
      </c>
      <c r="F45" s="396">
        <f t="shared" si="3"/>
        <v>41205</v>
      </c>
      <c r="G45" s="357">
        <f t="shared" ref="G45:I45" si="60">(F45*0.5%)+F45</f>
        <v>41411.025000000001</v>
      </c>
      <c r="H45" s="357">
        <f t="shared" si="60"/>
        <v>41618.080125</v>
      </c>
      <c r="I45" s="357">
        <f t="shared" si="60"/>
        <v>41826.170525624999</v>
      </c>
      <c r="J45" s="357">
        <f t="shared" si="5"/>
        <v>42035.301378253127</v>
      </c>
      <c r="K45" s="357">
        <f t="shared" ref="K45:M45" si="61">(J45*0.5%)+J45</f>
        <v>42245.477885144392</v>
      </c>
      <c r="L45" s="357">
        <f t="shared" si="61"/>
        <v>42456.705274570115</v>
      </c>
      <c r="M45" s="357">
        <f t="shared" si="61"/>
        <v>42668.988800942963</v>
      </c>
      <c r="N45" s="357">
        <f>(M45*0.5%)+M45+517.92</f>
        <v>43400.253744947673</v>
      </c>
      <c r="O45" s="357">
        <f t="shared" si="49"/>
        <v>419867.00273448322</v>
      </c>
      <c r="P45" s="357">
        <v>419867</v>
      </c>
      <c r="Q45" s="252"/>
      <c r="R45" s="252"/>
      <c r="S45" s="252"/>
      <c r="T45" s="239"/>
      <c r="U45" s="239"/>
      <c r="V45" s="239"/>
      <c r="W45" s="239"/>
      <c r="X45" s="239"/>
      <c r="Y45" s="239"/>
      <c r="Z45" s="239"/>
      <c r="AA45" s="239"/>
      <c r="AB45" s="239"/>
      <c r="AC45" s="239"/>
    </row>
    <row r="46" spans="1:29" ht="16.5" customHeight="1">
      <c r="A46" s="356" t="s">
        <v>1186</v>
      </c>
      <c r="B46" s="384" t="s">
        <v>1187</v>
      </c>
      <c r="C46" s="357"/>
      <c r="D46" s="357"/>
      <c r="E46" s="357">
        <v>485000</v>
      </c>
      <c r="F46" s="396">
        <f t="shared" si="3"/>
        <v>487425</v>
      </c>
      <c r="G46" s="357">
        <f t="shared" ref="G46:I46" si="62">(F46*0.5%)+F46</f>
        <v>489862.125</v>
      </c>
      <c r="H46" s="357">
        <f t="shared" si="62"/>
        <v>492311.43562499998</v>
      </c>
      <c r="I46" s="357">
        <f t="shared" si="62"/>
        <v>494772.992803125</v>
      </c>
      <c r="J46" s="357">
        <f t="shared" si="5"/>
        <v>497246.85776714061</v>
      </c>
      <c r="K46" s="357">
        <f t="shared" ref="K46:M46" si="63">(J46*0.5%)+J46</f>
        <v>499733.09205597633</v>
      </c>
      <c r="L46" s="357">
        <f t="shared" si="63"/>
        <v>502231.75751625624</v>
      </c>
      <c r="M46" s="357">
        <f t="shared" si="63"/>
        <v>504742.9163038375</v>
      </c>
      <c r="N46" s="357">
        <f>(M46*0.5%)+M46-25731.81</f>
        <v>481534.82088535669</v>
      </c>
      <c r="O46" s="357">
        <f t="shared" si="49"/>
        <v>4934860.9979566922</v>
      </c>
      <c r="P46" s="357">
        <v>4934861</v>
      </c>
      <c r="Q46" s="252"/>
      <c r="R46" s="252"/>
      <c r="S46" s="252"/>
      <c r="T46" s="239"/>
      <c r="U46" s="239"/>
      <c r="V46" s="239"/>
      <c r="W46" s="239"/>
      <c r="X46" s="239"/>
      <c r="Y46" s="239"/>
      <c r="Z46" s="239"/>
      <c r="AA46" s="239"/>
      <c r="AB46" s="239"/>
      <c r="AC46" s="239"/>
    </row>
    <row r="47" spans="1:29" ht="16.5" customHeight="1">
      <c r="A47" s="356" t="s">
        <v>1188</v>
      </c>
      <c r="B47" s="384" t="s">
        <v>1189</v>
      </c>
      <c r="C47" s="357"/>
      <c r="D47" s="357"/>
      <c r="E47" s="357">
        <v>1400</v>
      </c>
      <c r="F47" s="396">
        <f t="shared" si="3"/>
        <v>1407</v>
      </c>
      <c r="G47" s="357">
        <f t="shared" ref="G47:I47" si="64">(F47*0.5%)+F47</f>
        <v>1414.0350000000001</v>
      </c>
      <c r="H47" s="357">
        <f t="shared" si="64"/>
        <v>1421.1051750000001</v>
      </c>
      <c r="I47" s="357">
        <f t="shared" si="64"/>
        <v>1428.2107008750002</v>
      </c>
      <c r="J47" s="357">
        <f t="shared" si="5"/>
        <v>1435.3517543793751</v>
      </c>
      <c r="K47" s="357">
        <f t="shared" ref="K47:M47" si="65">(J47*0.5%)+J47</f>
        <v>1442.5285131512719</v>
      </c>
      <c r="L47" s="357">
        <f t="shared" si="65"/>
        <v>1449.7411557170283</v>
      </c>
      <c r="M47" s="357">
        <f t="shared" si="65"/>
        <v>1456.9898614956135</v>
      </c>
      <c r="N47" s="357">
        <f>(M47*0.5%)+M47+210.76</f>
        <v>1675.0348108030914</v>
      </c>
      <c r="O47" s="357">
        <f t="shared" si="49"/>
        <v>14529.99697142138</v>
      </c>
      <c r="P47" s="357">
        <v>14530</v>
      </c>
      <c r="Q47" s="252"/>
      <c r="R47" s="252"/>
      <c r="S47" s="252"/>
      <c r="T47" s="239"/>
      <c r="U47" s="239"/>
      <c r="V47" s="239"/>
      <c r="W47" s="239"/>
      <c r="X47" s="239"/>
      <c r="Y47" s="239"/>
      <c r="Z47" s="239"/>
      <c r="AA47" s="239"/>
      <c r="AB47" s="239"/>
      <c r="AC47" s="239"/>
    </row>
    <row r="48" spans="1:29" ht="16.5" customHeight="1">
      <c r="A48" s="356" t="s">
        <v>1190</v>
      </c>
      <c r="B48" s="384" t="s">
        <v>1191</v>
      </c>
      <c r="C48" s="357"/>
      <c r="D48" s="357"/>
      <c r="E48" s="357">
        <v>460</v>
      </c>
      <c r="F48" s="396">
        <f t="shared" si="3"/>
        <v>462.3</v>
      </c>
      <c r="G48" s="357">
        <f t="shared" ref="G48:I48" si="66">(F48*0.5%)+F48</f>
        <v>464.61150000000004</v>
      </c>
      <c r="H48" s="357">
        <f t="shared" si="66"/>
        <v>466.93455750000004</v>
      </c>
      <c r="I48" s="357">
        <f t="shared" si="66"/>
        <v>469.26923028750002</v>
      </c>
      <c r="J48" s="357">
        <f t="shared" si="5"/>
        <v>471.61557643893752</v>
      </c>
      <c r="K48" s="357">
        <f t="shared" ref="K48:M48" si="67">(J48*0.5%)+J48</f>
        <v>473.97365432113219</v>
      </c>
      <c r="L48" s="357">
        <f t="shared" si="67"/>
        <v>476.34352259273783</v>
      </c>
      <c r="M48" s="357">
        <f t="shared" si="67"/>
        <v>478.72524020570154</v>
      </c>
      <c r="N48" s="357">
        <f>(M48*0.5%)+M48-8.89</f>
        <v>472.22886640673005</v>
      </c>
      <c r="O48" s="357">
        <f t="shared" si="49"/>
        <v>4696.0021477527398</v>
      </c>
      <c r="P48" s="357">
        <v>4696</v>
      </c>
      <c r="Q48" s="252"/>
      <c r="R48" s="252"/>
      <c r="S48" s="252"/>
      <c r="T48" s="239"/>
      <c r="U48" s="239"/>
      <c r="V48" s="239"/>
      <c r="W48" s="239"/>
      <c r="X48" s="239"/>
      <c r="Y48" s="239"/>
      <c r="Z48" s="239"/>
      <c r="AA48" s="239"/>
      <c r="AB48" s="239"/>
      <c r="AC48" s="239"/>
    </row>
    <row r="49" spans="1:29" ht="16.5" customHeight="1">
      <c r="A49" s="356" t="s">
        <v>1192</v>
      </c>
      <c r="B49" s="384" t="s">
        <v>1193</v>
      </c>
      <c r="C49" s="357"/>
      <c r="D49" s="357"/>
      <c r="E49" s="357">
        <v>23500</v>
      </c>
      <c r="F49" s="396">
        <f t="shared" si="3"/>
        <v>23617.5</v>
      </c>
      <c r="G49" s="357">
        <f t="shared" ref="G49:I49" si="68">(F49*0.5%)+F49</f>
        <v>23735.587500000001</v>
      </c>
      <c r="H49" s="357">
        <f t="shared" si="68"/>
        <v>23854.265437500002</v>
      </c>
      <c r="I49" s="357">
        <f t="shared" si="68"/>
        <v>23973.536764687502</v>
      </c>
      <c r="J49" s="357">
        <f t="shared" si="5"/>
        <v>24093.404448510941</v>
      </c>
      <c r="K49" s="357">
        <f t="shared" ref="K49:M49" si="69">(J49*0.5%)+J49</f>
        <v>24213.871470753496</v>
      </c>
      <c r="L49" s="357">
        <f t="shared" si="69"/>
        <v>24334.940828107265</v>
      </c>
      <c r="M49" s="357">
        <f t="shared" si="69"/>
        <v>24456.615532247801</v>
      </c>
      <c r="N49" s="357">
        <f>(M49*0.5%)+M49-3096.62</f>
        <v>21482.278609909041</v>
      </c>
      <c r="O49" s="357">
        <f t="shared" si="49"/>
        <v>237262.000591716</v>
      </c>
      <c r="P49" s="357">
        <v>237262</v>
      </c>
      <c r="Q49" s="252"/>
      <c r="R49" s="252"/>
      <c r="S49" s="252"/>
      <c r="T49" s="239"/>
      <c r="U49" s="239"/>
      <c r="V49" s="239"/>
      <c r="W49" s="239"/>
      <c r="X49" s="239"/>
      <c r="Y49" s="239"/>
      <c r="Z49" s="239"/>
      <c r="AA49" s="239"/>
      <c r="AB49" s="239"/>
      <c r="AC49" s="239"/>
    </row>
    <row r="50" spans="1:29" ht="16.5" customHeight="1">
      <c r="A50" s="356" t="s">
        <v>1194</v>
      </c>
      <c r="B50" s="384" t="s">
        <v>1195</v>
      </c>
      <c r="C50" s="357"/>
      <c r="D50" s="357"/>
      <c r="E50" s="357">
        <v>37500</v>
      </c>
      <c r="F50" s="396">
        <f t="shared" si="3"/>
        <v>37687.5</v>
      </c>
      <c r="G50" s="357">
        <f t="shared" ref="G50:I52" si="70">(F50*0.5%)+F50</f>
        <v>37875.9375</v>
      </c>
      <c r="H50" s="357">
        <f t="shared" si="70"/>
        <v>38065.317187499997</v>
      </c>
      <c r="I50" s="357">
        <f t="shared" si="70"/>
        <v>38255.643773437499</v>
      </c>
      <c r="J50" s="357">
        <f t="shared" si="5"/>
        <v>38446.921992304684</v>
      </c>
      <c r="K50" s="357">
        <f t="shared" ref="K50:M52" si="71">(J50*0.5%)+J50</f>
        <v>38639.156602266208</v>
      </c>
      <c r="L50" s="357">
        <f t="shared" si="71"/>
        <v>38832.35238527754</v>
      </c>
      <c r="M50" s="357">
        <f t="shared" si="71"/>
        <v>39026.514147203925</v>
      </c>
      <c r="N50" s="357">
        <f>(M50*0.5%)+M50-5471.99</f>
        <v>33749.65671793995</v>
      </c>
      <c r="O50" s="357">
        <f t="shared" si="49"/>
        <v>378079.0003059298</v>
      </c>
      <c r="P50" s="357">
        <v>378079</v>
      </c>
      <c r="Q50" s="252"/>
      <c r="R50" s="252"/>
      <c r="S50" s="252"/>
      <c r="T50" s="239"/>
      <c r="U50" s="239"/>
      <c r="V50" s="239"/>
      <c r="W50" s="239"/>
      <c r="X50" s="239"/>
      <c r="Y50" s="239"/>
      <c r="Z50" s="239"/>
      <c r="AA50" s="239"/>
      <c r="AB50" s="239"/>
      <c r="AC50" s="239"/>
    </row>
    <row r="51" spans="1:29" ht="16.5" customHeight="1">
      <c r="A51" s="359" t="s">
        <v>1196</v>
      </c>
      <c r="B51" s="385" t="s">
        <v>1197</v>
      </c>
      <c r="C51" s="360">
        <f>+C52</f>
        <v>2945308</v>
      </c>
      <c r="D51" s="360">
        <f t="shared" ref="D51:O51" si="72">+D52</f>
        <v>1951614</v>
      </c>
      <c r="E51" s="360">
        <f t="shared" si="72"/>
        <v>4800000</v>
      </c>
      <c r="F51" s="397">
        <f t="shared" si="72"/>
        <v>4824000</v>
      </c>
      <c r="G51" s="360">
        <f t="shared" si="72"/>
        <v>4848120</v>
      </c>
      <c r="H51" s="360">
        <f t="shared" si="72"/>
        <v>4872360.5999999996</v>
      </c>
      <c r="I51" s="360">
        <f t="shared" si="72"/>
        <v>4896722.4029999999</v>
      </c>
      <c r="J51" s="360">
        <f t="shared" si="72"/>
        <v>4921206.0150149995</v>
      </c>
      <c r="K51" s="360">
        <f t="shared" si="72"/>
        <v>4945812.0450900747</v>
      </c>
      <c r="L51" s="360">
        <f t="shared" si="72"/>
        <v>4970541.1053155251</v>
      </c>
      <c r="M51" s="360">
        <f t="shared" si="72"/>
        <v>4995393.8108421024</v>
      </c>
      <c r="N51" s="360">
        <f t="shared" si="72"/>
        <v>5028922.0198963135</v>
      </c>
      <c r="O51" s="360">
        <f t="shared" si="72"/>
        <v>53999999.999159016</v>
      </c>
      <c r="P51" s="369"/>
      <c r="Q51" s="239"/>
      <c r="R51" s="252"/>
      <c r="S51" s="252"/>
      <c r="T51" s="239"/>
      <c r="U51" s="239"/>
      <c r="V51" s="239"/>
      <c r="W51" s="239"/>
      <c r="X51" s="239"/>
      <c r="Y51" s="239"/>
      <c r="Z51" s="239"/>
      <c r="AA51" s="239"/>
      <c r="AB51" s="239"/>
      <c r="AC51" s="239"/>
    </row>
    <row r="52" spans="1:29" ht="16.5" customHeight="1">
      <c r="A52" s="356" t="s">
        <v>1198</v>
      </c>
      <c r="B52" s="384" t="s">
        <v>1199</v>
      </c>
      <c r="C52" s="361">
        <v>2945308</v>
      </c>
      <c r="D52" s="358">
        <v>1951614</v>
      </c>
      <c r="E52" s="357">
        <v>4800000</v>
      </c>
      <c r="F52" s="396">
        <f t="shared" si="3"/>
        <v>4824000</v>
      </c>
      <c r="G52" s="357">
        <f t="shared" si="70"/>
        <v>4848120</v>
      </c>
      <c r="H52" s="357">
        <f t="shared" si="70"/>
        <v>4872360.5999999996</v>
      </c>
      <c r="I52" s="357">
        <f t="shared" si="70"/>
        <v>4896722.4029999999</v>
      </c>
      <c r="J52" s="357">
        <f t="shared" si="5"/>
        <v>4921206.0150149995</v>
      </c>
      <c r="K52" s="357">
        <f t="shared" si="71"/>
        <v>4945812.0450900747</v>
      </c>
      <c r="L52" s="357">
        <f t="shared" si="71"/>
        <v>4970541.1053155251</v>
      </c>
      <c r="M52" s="357">
        <f t="shared" si="71"/>
        <v>4995393.8108421024</v>
      </c>
      <c r="N52" s="357">
        <f>(M52*0.5%)+M52+8551.24</f>
        <v>5028922.0198963135</v>
      </c>
      <c r="O52" s="357">
        <f>SUM(C52:N52)</f>
        <v>53999999.999159016</v>
      </c>
      <c r="P52" s="357">
        <v>54000000</v>
      </c>
      <c r="Q52" s="252"/>
      <c r="R52" s="252"/>
      <c r="S52" s="252"/>
      <c r="T52" s="239"/>
      <c r="U52" s="239"/>
      <c r="V52" s="239"/>
      <c r="W52" s="239"/>
      <c r="X52" s="239"/>
      <c r="Y52" s="239"/>
      <c r="Z52" s="239"/>
      <c r="AA52" s="239"/>
      <c r="AB52" s="239"/>
      <c r="AC52" s="239"/>
    </row>
    <row r="53" spans="1:29" ht="15" customHeight="1">
      <c r="A53" s="359"/>
      <c r="B53" s="383" t="s">
        <v>1212</v>
      </c>
      <c r="C53" s="355">
        <f>SUM(C54:C59)</f>
        <v>292358382</v>
      </c>
      <c r="D53" s="355" cm="1">
        <f t="array" ref="D53">SUM(D54:D59)</f>
        <v>380248278.91000003</v>
      </c>
      <c r="E53" s="355" cm="1">
        <f t="array" ref="E53">SUM(E54:E59)</f>
        <v>320500000</v>
      </c>
      <c r="F53" s="395" cm="1">
        <f t="array" ref="F53">SUM(F54:F59)</f>
        <v>322102500</v>
      </c>
      <c r="G53" s="355" cm="1">
        <f t="array" ref="G53">SUM(G54:G59)</f>
        <v>323713012.5</v>
      </c>
      <c r="H53" s="355" cm="1">
        <f t="array" ref="H53">SUM(H54:H59)</f>
        <v>325331577.56250006</v>
      </c>
      <c r="I53" s="355" cm="1">
        <f t="array" ref="I53">SUM(I54:I59)</f>
        <v>326958235.45031244</v>
      </c>
      <c r="J53" s="355" cm="1">
        <f t="array" ref="J53">SUM(J54:J59)</f>
        <v>328593026.62756407</v>
      </c>
      <c r="K53" s="355" cm="1">
        <f t="array" ref="K53">SUM(K54:K59)</f>
        <v>330235991.76070189</v>
      </c>
      <c r="L53" s="355" cm="1">
        <f t="array" ref="L53">SUM(L54:L59)</f>
        <v>331887171.71950543</v>
      </c>
      <c r="M53" s="355" cm="1">
        <f t="array" ref="M53">SUM(M54:M59)</f>
        <v>333546607.57810295</v>
      </c>
      <c r="N53" s="355" cm="1">
        <f t="array" ref="N53">SUM(N54:N59)</f>
        <v>337525215.87599343</v>
      </c>
      <c r="O53" s="355" cm="1">
        <f t="array" ref="O53">SUM(O54:O59)</f>
        <v>3952999999.9846807</v>
      </c>
      <c r="P53" s="369"/>
      <c r="Q53" s="239"/>
      <c r="R53" s="252"/>
      <c r="S53" s="252"/>
      <c r="T53" s="239"/>
      <c r="U53" s="239"/>
      <c r="V53" s="239"/>
      <c r="W53" s="239"/>
      <c r="X53" s="239"/>
      <c r="Y53" s="239"/>
      <c r="Z53" s="239"/>
      <c r="AA53" s="239"/>
      <c r="AB53" s="239"/>
      <c r="AC53" s="239"/>
    </row>
    <row r="54" spans="1:29" ht="16.5" customHeight="1">
      <c r="A54" s="356" t="s">
        <v>1200</v>
      </c>
      <c r="B54" s="384" t="s">
        <v>1201</v>
      </c>
      <c r="C54" s="361">
        <v>11089725</v>
      </c>
      <c r="D54" s="358">
        <v>12338361.91</v>
      </c>
      <c r="E54" s="358">
        <v>9550000</v>
      </c>
      <c r="F54" s="396">
        <f t="shared" si="3"/>
        <v>9597750</v>
      </c>
      <c r="G54" s="357">
        <f t="shared" ref="G54:I54" si="73">(F54*0.5%)+F54</f>
        <v>9645738.75</v>
      </c>
      <c r="H54" s="357">
        <f t="shared" si="73"/>
        <v>9693967.4437499996</v>
      </c>
      <c r="I54" s="357">
        <f t="shared" si="73"/>
        <v>9742437.2809687499</v>
      </c>
      <c r="J54" s="357">
        <f t="shared" si="5"/>
        <v>9791149.4673735928</v>
      </c>
      <c r="K54" s="357">
        <f t="shared" ref="K54:M54" si="74">(J54*0.5%)+J54</f>
        <v>9840105.214710461</v>
      </c>
      <c r="L54" s="357">
        <f t="shared" si="74"/>
        <v>9889305.7407840136</v>
      </c>
      <c r="M54" s="357">
        <f t="shared" si="74"/>
        <v>9938752.2694879342</v>
      </c>
      <c r="N54" s="357">
        <f>(M54*0.5%)+M54-105739.11</f>
        <v>9882706.9208353739</v>
      </c>
      <c r="O54" s="357">
        <f t="shared" ref="O54:O59" si="75">SUM(C54:N54)</f>
        <v>120999999.99791013</v>
      </c>
      <c r="P54" s="357">
        <v>121000000</v>
      </c>
      <c r="Q54" s="252"/>
      <c r="R54" s="252"/>
      <c r="S54" s="252"/>
      <c r="T54" s="239"/>
      <c r="U54" s="239"/>
      <c r="V54" s="239"/>
      <c r="W54" s="239"/>
      <c r="X54" s="239"/>
      <c r="Y54" s="239"/>
      <c r="Z54" s="239"/>
      <c r="AA54" s="239"/>
      <c r="AB54" s="239"/>
      <c r="AC54" s="239"/>
    </row>
    <row r="55" spans="1:29" ht="16.5" customHeight="1">
      <c r="A55" s="356" t="s">
        <v>1202</v>
      </c>
      <c r="B55" s="384" t="s">
        <v>1203</v>
      </c>
      <c r="C55" s="361">
        <v>2977500</v>
      </c>
      <c r="D55" s="358">
        <v>999505</v>
      </c>
      <c r="E55" s="357">
        <v>3700000</v>
      </c>
      <c r="F55" s="396">
        <f t="shared" si="3"/>
        <v>3718500</v>
      </c>
      <c r="G55" s="357">
        <f t="shared" ref="G55:I55" si="76">(F55*0.5%)+F55</f>
        <v>3737092.5</v>
      </c>
      <c r="H55" s="357">
        <f t="shared" si="76"/>
        <v>3755777.9624999999</v>
      </c>
      <c r="I55" s="357">
        <f t="shared" si="76"/>
        <v>3774556.8523125001</v>
      </c>
      <c r="J55" s="357">
        <f t="shared" si="5"/>
        <v>3793429.6365740625</v>
      </c>
      <c r="K55" s="357">
        <f t="shared" ref="K55:M55" si="77">(J55*0.5%)+J55</f>
        <v>3812396.7847569329</v>
      </c>
      <c r="L55" s="357">
        <f t="shared" si="77"/>
        <v>3831458.7686807173</v>
      </c>
      <c r="M55" s="357">
        <f t="shared" si="77"/>
        <v>3850616.0625241208</v>
      </c>
      <c r="N55" s="357">
        <f>(M55*0.5%)+M55+179297.29</f>
        <v>4049166.4328367412</v>
      </c>
      <c r="O55" s="357">
        <f t="shared" si="75"/>
        <v>42000000.000185072</v>
      </c>
      <c r="P55" s="357">
        <v>42000000</v>
      </c>
      <c r="Q55" s="252"/>
      <c r="R55" s="252"/>
      <c r="S55" s="252"/>
      <c r="T55" s="239"/>
      <c r="U55" s="239"/>
      <c r="V55" s="239"/>
      <c r="W55" s="239"/>
      <c r="X55" s="239"/>
      <c r="Y55" s="239"/>
      <c r="Z55" s="239"/>
      <c r="AA55" s="239"/>
      <c r="AB55" s="239"/>
      <c r="AC55" s="239"/>
    </row>
    <row r="56" spans="1:29" ht="16.5" customHeight="1">
      <c r="A56" s="356" t="s">
        <v>1204</v>
      </c>
      <c r="B56" s="384" t="s">
        <v>1205</v>
      </c>
      <c r="C56" s="361">
        <v>262185514</v>
      </c>
      <c r="D56" s="358">
        <v>345662311</v>
      </c>
      <c r="E56" s="357">
        <v>282550000</v>
      </c>
      <c r="F56" s="396">
        <f t="shared" si="3"/>
        <v>283962750</v>
      </c>
      <c r="G56" s="357">
        <f t="shared" ref="G56:I56" si="78">(F56*0.5%)+F56</f>
        <v>285382563.75</v>
      </c>
      <c r="H56" s="357">
        <f t="shared" si="78"/>
        <v>286809476.56875002</v>
      </c>
      <c r="I56" s="357">
        <f t="shared" si="78"/>
        <v>288243523.95159376</v>
      </c>
      <c r="J56" s="357">
        <f t="shared" si="5"/>
        <v>289684741.57135171</v>
      </c>
      <c r="K56" s="357">
        <f t="shared" ref="K56:M56" si="79">(J56*0.5%)+J56</f>
        <v>291133165.27920848</v>
      </c>
      <c r="L56" s="357">
        <f t="shared" si="79"/>
        <v>292588831.10560453</v>
      </c>
      <c r="M56" s="357">
        <f t="shared" si="79"/>
        <v>294051775.26113254</v>
      </c>
      <c r="N56" s="357">
        <f>(M56*0.5%)+M56+2223313.37</f>
        <v>297745347.50743818</v>
      </c>
      <c r="O56" s="357">
        <f t="shared" si="75"/>
        <v>3499999999.9950795</v>
      </c>
      <c r="P56" s="357">
        <v>3500000000</v>
      </c>
      <c r="Q56" s="252"/>
      <c r="R56" s="252"/>
      <c r="S56" s="252"/>
      <c r="T56" s="239"/>
      <c r="U56" s="239"/>
      <c r="V56" s="239"/>
      <c r="W56" s="239"/>
      <c r="X56" s="239"/>
      <c r="Y56" s="239"/>
      <c r="Z56" s="239"/>
      <c r="AA56" s="239"/>
      <c r="AB56" s="239"/>
      <c r="AC56" s="239"/>
    </row>
    <row r="57" spans="1:29" ht="16.5" customHeight="1">
      <c r="A57" s="356" t="s">
        <v>1206</v>
      </c>
      <c r="B57" s="384" t="s">
        <v>1207</v>
      </c>
      <c r="C57" s="361">
        <v>2961365</v>
      </c>
      <c r="D57" s="358">
        <v>3287053</v>
      </c>
      <c r="E57" s="357">
        <v>3300000</v>
      </c>
      <c r="F57" s="396">
        <f t="shared" si="3"/>
        <v>3316500</v>
      </c>
      <c r="G57" s="357">
        <f t="shared" ref="G57:I57" si="80">(F57*0.5%)+F57</f>
        <v>3333082.5</v>
      </c>
      <c r="H57" s="357">
        <f t="shared" si="80"/>
        <v>3349747.9125000001</v>
      </c>
      <c r="I57" s="357">
        <f t="shared" si="80"/>
        <v>3366496.6520624999</v>
      </c>
      <c r="J57" s="357">
        <f t="shared" si="5"/>
        <v>3383329.1353228125</v>
      </c>
      <c r="K57" s="357">
        <f t="shared" ref="K57:M57" si="81">(J57*0.5%)+J57</f>
        <v>3400245.7809994267</v>
      </c>
      <c r="L57" s="357">
        <f t="shared" si="81"/>
        <v>3417247.0099044237</v>
      </c>
      <c r="M57" s="357">
        <f t="shared" si="81"/>
        <v>3434333.2449539457</v>
      </c>
      <c r="N57" s="357">
        <f>(M57*0.5%)+M57-905.15</f>
        <v>3450599.7611787156</v>
      </c>
      <c r="O57" s="357">
        <f t="shared" si="75"/>
        <v>39999999.996921822</v>
      </c>
      <c r="P57" s="357">
        <v>40000000</v>
      </c>
      <c r="Q57" s="252"/>
      <c r="R57" s="252"/>
      <c r="S57" s="252"/>
      <c r="T57" s="239"/>
      <c r="U57" s="239"/>
      <c r="V57" s="239"/>
      <c r="W57" s="239"/>
      <c r="X57" s="239"/>
      <c r="Y57" s="239"/>
      <c r="Z57" s="239"/>
      <c r="AA57" s="239"/>
      <c r="AB57" s="239"/>
      <c r="AC57" s="239"/>
    </row>
    <row r="58" spans="1:29" ht="16.5" customHeight="1">
      <c r="A58" s="356" t="s">
        <v>1208</v>
      </c>
      <c r="B58" s="384" t="s">
        <v>1209</v>
      </c>
      <c r="C58" s="361">
        <v>13144278</v>
      </c>
      <c r="D58" s="358">
        <v>13718858</v>
      </c>
      <c r="E58" s="357">
        <v>12000000</v>
      </c>
      <c r="F58" s="396">
        <f t="shared" si="3"/>
        <v>12060000</v>
      </c>
      <c r="G58" s="357">
        <f t="shared" ref="G58:I58" si="82">(F58*0.5%)+F58</f>
        <v>12120300</v>
      </c>
      <c r="H58" s="357">
        <f t="shared" si="82"/>
        <v>12180901.5</v>
      </c>
      <c r="I58" s="357">
        <f t="shared" si="82"/>
        <v>12241806.0075</v>
      </c>
      <c r="J58" s="357">
        <f t="shared" si="5"/>
        <v>12303015.0375375</v>
      </c>
      <c r="K58" s="357">
        <f t="shared" ref="K58:M58" si="83">(J58*0.5%)+J58</f>
        <v>12364530.112725187</v>
      </c>
      <c r="L58" s="357">
        <f t="shared" si="83"/>
        <v>12426352.763288813</v>
      </c>
      <c r="M58" s="357">
        <f t="shared" si="83"/>
        <v>12488484.527105257</v>
      </c>
      <c r="N58" s="357">
        <f>(M58*0.5%)+M58+400547.1</f>
        <v>12951474.049740782</v>
      </c>
      <c r="O58" s="357">
        <f t="shared" si="75"/>
        <v>149999999.99789754</v>
      </c>
      <c r="P58" s="357">
        <v>150000000</v>
      </c>
      <c r="Q58" s="252"/>
      <c r="R58" s="252"/>
      <c r="S58" s="252"/>
      <c r="T58" s="239"/>
      <c r="U58" s="239"/>
      <c r="V58" s="239"/>
      <c r="W58" s="239"/>
      <c r="X58" s="239"/>
      <c r="Y58" s="239"/>
      <c r="Z58" s="239"/>
      <c r="AA58" s="239"/>
      <c r="AB58" s="239"/>
      <c r="AC58" s="239"/>
    </row>
    <row r="59" spans="1:29" ht="16.5" customHeight="1">
      <c r="A59" s="356" t="s">
        <v>1210</v>
      </c>
      <c r="B59" s="384" t="s">
        <v>1211</v>
      </c>
      <c r="C59" s="361">
        <v>0</v>
      </c>
      <c r="D59" s="358">
        <v>4242190</v>
      </c>
      <c r="E59" s="357">
        <v>9400000</v>
      </c>
      <c r="F59" s="396">
        <f t="shared" si="3"/>
        <v>9447000</v>
      </c>
      <c r="G59" s="357">
        <f t="shared" ref="G59:I59" si="84">(F59*0.5%)+F59</f>
        <v>9494235</v>
      </c>
      <c r="H59" s="357">
        <f t="shared" si="84"/>
        <v>9541706.1750000007</v>
      </c>
      <c r="I59" s="357">
        <f t="shared" si="84"/>
        <v>9589414.705875</v>
      </c>
      <c r="J59" s="357">
        <f t="shared" si="5"/>
        <v>9637361.7794043757</v>
      </c>
      <c r="K59" s="357">
        <f t="shared" ref="K59:M59" si="85">(J59*0.5%)+J59</f>
        <v>9685548.5883013979</v>
      </c>
      <c r="L59" s="357">
        <f t="shared" si="85"/>
        <v>9733976.3312429041</v>
      </c>
      <c r="M59" s="357">
        <f t="shared" si="85"/>
        <v>9782646.2128991187</v>
      </c>
      <c r="N59" s="357">
        <f>(M59*0.5%)+M59-385638.24</f>
        <v>9445921.2039636131</v>
      </c>
      <c r="O59" s="357">
        <f t="shared" si="75"/>
        <v>99999999.996686414</v>
      </c>
      <c r="P59" s="357">
        <v>100000000</v>
      </c>
      <c r="Q59" s="252"/>
      <c r="R59" s="252"/>
      <c r="S59" s="252"/>
      <c r="T59" s="239"/>
      <c r="U59" s="239"/>
      <c r="V59" s="239"/>
      <c r="W59" s="239"/>
      <c r="X59" s="239"/>
      <c r="Y59" s="239"/>
      <c r="Z59" s="239"/>
      <c r="AA59" s="239"/>
      <c r="AB59" s="239"/>
      <c r="AC59" s="239"/>
    </row>
    <row r="60" spans="1:29" ht="15" customHeight="1">
      <c r="A60" s="359"/>
      <c r="B60" s="386" t="s">
        <v>1213</v>
      </c>
      <c r="C60" s="355">
        <f>+C61+C62+C63+C64+C72+C85</f>
        <v>0</v>
      </c>
      <c r="D60" s="355">
        <f t="shared" ref="D60:O60" si="86">+D61+D62+D63+D64+D72+D85</f>
        <v>5424122</v>
      </c>
      <c r="E60" s="355">
        <f t="shared" si="86"/>
        <v>3085165050</v>
      </c>
      <c r="F60" s="395">
        <f t="shared" si="86"/>
        <v>3100590875.25</v>
      </c>
      <c r="G60" s="355">
        <f t="shared" si="86"/>
        <v>3116093829.6262498</v>
      </c>
      <c r="H60" s="355">
        <f t="shared" si="86"/>
        <v>3131674298.7743812</v>
      </c>
      <c r="I60" s="355">
        <f t="shared" si="86"/>
        <v>3147332670.2682528</v>
      </c>
      <c r="J60" s="355">
        <f t="shared" si="86"/>
        <v>3163069333.6195946</v>
      </c>
      <c r="K60" s="355">
        <f t="shared" si="86"/>
        <v>3178884680.287693</v>
      </c>
      <c r="L60" s="355">
        <f t="shared" si="86"/>
        <v>3194779103.6891308</v>
      </c>
      <c r="M60" s="355">
        <f t="shared" si="86"/>
        <v>3210752999.2075768</v>
      </c>
      <c r="N60" s="355">
        <f t="shared" si="86"/>
        <v>3212748621.3636146</v>
      </c>
      <c r="O60" s="355">
        <f t="shared" si="86"/>
        <v>31546515584.086494</v>
      </c>
      <c r="P60" s="357"/>
      <c r="Q60" s="239"/>
      <c r="R60" s="252"/>
      <c r="S60" s="252"/>
      <c r="T60" s="239"/>
      <c r="U60" s="239"/>
      <c r="V60" s="239"/>
      <c r="W60" s="239"/>
      <c r="X60" s="239"/>
      <c r="Y60" s="239"/>
      <c r="Z60" s="239"/>
      <c r="AA60" s="239"/>
      <c r="AB60" s="239"/>
      <c r="AC60" s="239"/>
    </row>
    <row r="61" spans="1:29" ht="15" customHeight="1">
      <c r="A61" s="356" t="s">
        <v>1214</v>
      </c>
      <c r="B61" s="384" t="s">
        <v>1215</v>
      </c>
      <c r="C61" s="362"/>
      <c r="D61" s="362"/>
      <c r="E61" s="366">
        <v>2640000000</v>
      </c>
      <c r="F61" s="396">
        <f t="shared" si="3"/>
        <v>2653200000</v>
      </c>
      <c r="G61" s="357">
        <f t="shared" ref="G61:I61" si="87">(F61*0.5%)+F61</f>
        <v>2666466000</v>
      </c>
      <c r="H61" s="357">
        <f t="shared" si="87"/>
        <v>2679798330</v>
      </c>
      <c r="I61" s="357">
        <f t="shared" si="87"/>
        <v>2693197321.6500001</v>
      </c>
      <c r="J61" s="357">
        <f t="shared" si="5"/>
        <v>2706663308.2582502</v>
      </c>
      <c r="K61" s="357">
        <f t="shared" ref="K61:M61" si="88">(J61*0.5%)+J61</f>
        <v>2720196624.7995415</v>
      </c>
      <c r="L61" s="357">
        <f t="shared" si="88"/>
        <v>2733797607.9235392</v>
      </c>
      <c r="M61" s="357">
        <f t="shared" si="88"/>
        <v>2747466595.9631567</v>
      </c>
      <c r="N61" s="357">
        <f>(M61*0.5%)+M61-1989717.54</f>
        <v>2759214211.4029727</v>
      </c>
      <c r="O61" s="357">
        <f t="shared" ref="O61:O63" si="89">SUM(C61:N61)</f>
        <v>26999999999.997459</v>
      </c>
      <c r="P61" s="357">
        <v>27000000000</v>
      </c>
      <c r="Q61" s="252"/>
      <c r="R61" s="252"/>
      <c r="S61" s="252"/>
      <c r="T61" s="239"/>
      <c r="U61" s="239"/>
      <c r="V61" s="239"/>
      <c r="W61" s="239"/>
      <c r="X61" s="239"/>
      <c r="Y61" s="239"/>
      <c r="Z61" s="239"/>
      <c r="AA61" s="239"/>
      <c r="AB61" s="239"/>
      <c r="AC61" s="239"/>
    </row>
    <row r="62" spans="1:29" ht="15" customHeight="1">
      <c r="A62" s="356" t="s">
        <v>1216</v>
      </c>
      <c r="B62" s="384" t="s">
        <v>1217</v>
      </c>
      <c r="C62" s="362"/>
      <c r="D62" s="362"/>
      <c r="E62" s="366">
        <v>121500000</v>
      </c>
      <c r="F62" s="396">
        <f t="shared" si="3"/>
        <v>122107500</v>
      </c>
      <c r="G62" s="357">
        <f t="shared" ref="G62:I62" si="90">(F62*0.5%)+F62</f>
        <v>122718037.5</v>
      </c>
      <c r="H62" s="357">
        <f t="shared" si="90"/>
        <v>123331627.6875</v>
      </c>
      <c r="I62" s="357">
        <f t="shared" si="90"/>
        <v>123948285.82593749</v>
      </c>
      <c r="J62" s="357">
        <f t="shared" si="5"/>
        <v>124568027.25506718</v>
      </c>
      <c r="K62" s="357">
        <f t="shared" ref="K62:M62" si="91">(J62*0.5%)+J62</f>
        <v>125190867.39134252</v>
      </c>
      <c r="L62" s="357">
        <f t="shared" si="91"/>
        <v>125816821.72829923</v>
      </c>
      <c r="M62" s="357">
        <f t="shared" si="91"/>
        <v>126445905.83694072</v>
      </c>
      <c r="N62" s="357">
        <f>(M62*0.5%)+M62-7436383.59</f>
        <v>119641751.77612542</v>
      </c>
      <c r="O62" s="357">
        <f t="shared" si="89"/>
        <v>1235268825.0012126</v>
      </c>
      <c r="P62" s="357">
        <v>1235268825</v>
      </c>
      <c r="Q62" s="252"/>
      <c r="R62" s="252"/>
      <c r="S62" s="252"/>
      <c r="T62" s="239"/>
      <c r="U62" s="239"/>
      <c r="V62" s="239"/>
      <c r="W62" s="239"/>
      <c r="X62" s="239"/>
      <c r="Y62" s="239"/>
      <c r="Z62" s="239"/>
      <c r="AA62" s="239"/>
      <c r="AB62" s="239"/>
      <c r="AC62" s="239"/>
    </row>
    <row r="63" spans="1:29" ht="15" customHeight="1">
      <c r="A63" s="356" t="s">
        <v>1218</v>
      </c>
      <c r="B63" s="384" t="s">
        <v>1219</v>
      </c>
      <c r="C63" s="362"/>
      <c r="D63" s="362"/>
      <c r="E63" s="366">
        <v>4900000</v>
      </c>
      <c r="F63" s="396">
        <f t="shared" si="3"/>
        <v>4924500</v>
      </c>
      <c r="G63" s="357">
        <f t="shared" ref="G63:I65" si="92">(F63*0.5%)+F63</f>
        <v>4949122.5</v>
      </c>
      <c r="H63" s="357">
        <f t="shared" si="92"/>
        <v>4973868.1124999998</v>
      </c>
      <c r="I63" s="357">
        <f t="shared" si="92"/>
        <v>4998737.4530624999</v>
      </c>
      <c r="J63" s="357">
        <f t="shared" si="5"/>
        <v>5023731.1403278122</v>
      </c>
      <c r="K63" s="357">
        <f t="shared" ref="K63:M65" si="93">(J63*0.5%)+J63</f>
        <v>5048849.7960294513</v>
      </c>
      <c r="L63" s="357">
        <f t="shared" si="93"/>
        <v>5074094.0450095981</v>
      </c>
      <c r="M63" s="357">
        <f t="shared" si="93"/>
        <v>5099464.5152346464</v>
      </c>
      <c r="N63" s="357">
        <f>(M63*0.5%)+M63-273034.4</f>
        <v>4851927.4378108196</v>
      </c>
      <c r="O63" s="357">
        <f t="shared" si="89"/>
        <v>49844294.999974832</v>
      </c>
      <c r="P63" s="357">
        <v>49844295</v>
      </c>
      <c r="Q63" s="252"/>
      <c r="R63" s="252"/>
      <c r="S63" s="252"/>
      <c r="T63" s="239"/>
      <c r="U63" s="239"/>
      <c r="V63" s="239"/>
      <c r="W63" s="239"/>
      <c r="X63" s="239"/>
      <c r="Y63" s="239"/>
      <c r="Z63" s="239"/>
      <c r="AA63" s="239"/>
      <c r="AB63" s="239"/>
      <c r="AC63" s="239"/>
    </row>
    <row r="64" spans="1:29" ht="15" customHeight="1">
      <c r="A64" s="359" t="s">
        <v>1220</v>
      </c>
      <c r="B64" s="385" t="s">
        <v>1221</v>
      </c>
      <c r="C64" s="360">
        <f>SUM(C65:C71)</f>
        <v>0</v>
      </c>
      <c r="D64" s="360">
        <f t="shared" ref="D64:O64" si="94">SUM(D65:D71)</f>
        <v>1673822</v>
      </c>
      <c r="E64" s="360">
        <f t="shared" si="94"/>
        <v>14050000</v>
      </c>
      <c r="F64" s="397">
        <f t="shared" si="94"/>
        <v>14120250</v>
      </c>
      <c r="G64" s="360">
        <f t="shared" si="94"/>
        <v>14190851.25</v>
      </c>
      <c r="H64" s="360">
        <f t="shared" si="94"/>
        <v>14261805.506249998</v>
      </c>
      <c r="I64" s="360">
        <f t="shared" si="94"/>
        <v>14333114.533781249</v>
      </c>
      <c r="J64" s="360">
        <f t="shared" si="94"/>
        <v>14404780.106450157</v>
      </c>
      <c r="K64" s="360">
        <f t="shared" si="94"/>
        <v>14476804.006982408</v>
      </c>
      <c r="L64" s="360">
        <f t="shared" si="94"/>
        <v>14549188.02701732</v>
      </c>
      <c r="M64" s="360">
        <f t="shared" si="94"/>
        <v>14621933.967152406</v>
      </c>
      <c r="N64" s="360">
        <f t="shared" si="94"/>
        <v>14296860.596988166</v>
      </c>
      <c r="O64" s="360">
        <f t="shared" si="94"/>
        <v>144979409.99462169</v>
      </c>
      <c r="P64" s="369"/>
      <c r="Q64" s="239"/>
      <c r="R64" s="252"/>
      <c r="S64" s="252"/>
      <c r="T64" s="239"/>
      <c r="U64" s="239"/>
      <c r="V64" s="239"/>
      <c r="W64" s="239"/>
      <c r="X64" s="239"/>
      <c r="Y64" s="239"/>
      <c r="Z64" s="239"/>
      <c r="AA64" s="239"/>
      <c r="AB64" s="239"/>
      <c r="AC64" s="239"/>
    </row>
    <row r="65" spans="1:29" ht="15" customHeight="1">
      <c r="A65" s="356" t="s">
        <v>1222</v>
      </c>
      <c r="B65" s="384" t="s">
        <v>1223</v>
      </c>
      <c r="C65" s="362"/>
      <c r="D65" s="362"/>
      <c r="E65" s="366">
        <v>1500000</v>
      </c>
      <c r="F65" s="396">
        <f t="shared" si="3"/>
        <v>1507500</v>
      </c>
      <c r="G65" s="357">
        <f t="shared" si="92"/>
        <v>1515037.5</v>
      </c>
      <c r="H65" s="357">
        <f t="shared" si="92"/>
        <v>1522612.6875</v>
      </c>
      <c r="I65" s="357">
        <f t="shared" si="92"/>
        <v>1530225.7509375</v>
      </c>
      <c r="J65" s="357">
        <f t="shared" si="5"/>
        <v>1537876.8796921875</v>
      </c>
      <c r="K65" s="357">
        <f t="shared" si="93"/>
        <v>1545566.2640906484</v>
      </c>
      <c r="L65" s="357">
        <f t="shared" si="93"/>
        <v>1553294.0954111016</v>
      </c>
      <c r="M65" s="357">
        <f t="shared" si="93"/>
        <v>1561060.5658881571</v>
      </c>
      <c r="N65" s="357">
        <f>(M65*0.5%)+M65+77960.39</f>
        <v>1646826.2587175977</v>
      </c>
      <c r="O65" s="357">
        <f t="shared" ref="O65:O94" si="95">SUM(C65:N65)</f>
        <v>15420000.002237193</v>
      </c>
      <c r="P65" s="357">
        <v>15420000</v>
      </c>
      <c r="Q65" s="252"/>
      <c r="R65" s="252"/>
      <c r="S65" s="252"/>
      <c r="T65" s="239"/>
      <c r="U65" s="239"/>
      <c r="V65" s="239"/>
      <c r="W65" s="239"/>
      <c r="X65" s="239"/>
      <c r="Y65" s="239"/>
      <c r="Z65" s="239"/>
      <c r="AA65" s="239"/>
      <c r="AB65" s="239"/>
      <c r="AC65" s="239"/>
    </row>
    <row r="66" spans="1:29" ht="15" customHeight="1">
      <c r="A66" s="356" t="s">
        <v>1224</v>
      </c>
      <c r="B66" s="384" t="s">
        <v>1225</v>
      </c>
      <c r="C66" s="362"/>
      <c r="D66" s="362"/>
      <c r="E66" s="366">
        <v>2350000</v>
      </c>
      <c r="F66" s="396">
        <f t="shared" si="3"/>
        <v>2361750</v>
      </c>
      <c r="G66" s="357">
        <f t="shared" ref="G66:I66" si="96">(F66*0.5%)+F66</f>
        <v>2373558.75</v>
      </c>
      <c r="H66" s="357">
        <f t="shared" si="96"/>
        <v>2385426.5437500002</v>
      </c>
      <c r="I66" s="357">
        <f t="shared" si="96"/>
        <v>2397353.67646875</v>
      </c>
      <c r="J66" s="357">
        <f t="shared" si="5"/>
        <v>2409340.4448510939</v>
      </c>
      <c r="K66" s="357">
        <f t="shared" ref="K66:M66" si="97">(J66*0.5%)+J66</f>
        <v>2421387.1470753495</v>
      </c>
      <c r="L66" s="357">
        <f t="shared" si="97"/>
        <v>2433494.082810726</v>
      </c>
      <c r="M66" s="357">
        <f t="shared" si="97"/>
        <v>2445661.5532247797</v>
      </c>
      <c r="N66" s="357">
        <f>(M66*0.5%)+M66-231961.06</f>
        <v>2225928.8009909033</v>
      </c>
      <c r="O66" s="357">
        <f t="shared" si="95"/>
        <v>23803900.9991716</v>
      </c>
      <c r="P66" s="357">
        <v>23803901</v>
      </c>
      <c r="Q66" s="252"/>
      <c r="R66" s="252"/>
      <c r="S66" s="252"/>
      <c r="T66" s="239"/>
      <c r="U66" s="239"/>
      <c r="V66" s="239"/>
      <c r="W66" s="239"/>
      <c r="X66" s="239"/>
      <c r="Y66" s="239"/>
      <c r="Z66" s="239"/>
      <c r="AA66" s="239"/>
      <c r="AB66" s="239"/>
      <c r="AC66" s="239"/>
    </row>
    <row r="67" spans="1:29" ht="15" customHeight="1">
      <c r="A67" s="356" t="s">
        <v>1226</v>
      </c>
      <c r="B67" s="384" t="s">
        <v>1227</v>
      </c>
      <c r="C67" s="362"/>
      <c r="D67" s="362"/>
      <c r="E67" s="366">
        <v>1200000</v>
      </c>
      <c r="F67" s="396">
        <f t="shared" si="3"/>
        <v>1206000</v>
      </c>
      <c r="G67" s="357">
        <f t="shared" ref="G67:I67" si="98">(F67*0.5%)+F67</f>
        <v>1212030</v>
      </c>
      <c r="H67" s="357">
        <f t="shared" si="98"/>
        <v>1218090.1499999999</v>
      </c>
      <c r="I67" s="357">
        <f t="shared" si="98"/>
        <v>1224180.60075</v>
      </c>
      <c r="J67" s="357">
        <f t="shared" si="5"/>
        <v>1230301.5037537499</v>
      </c>
      <c r="K67" s="357">
        <f t="shared" ref="K67:M67" si="99">(J67*0.5%)+J67</f>
        <v>1236453.0112725187</v>
      </c>
      <c r="L67" s="357">
        <f t="shared" si="99"/>
        <v>1242635.2763288813</v>
      </c>
      <c r="M67" s="357">
        <f t="shared" si="99"/>
        <v>1248848.4527105256</v>
      </c>
      <c r="N67" s="357">
        <f>(M67*0.5%)+M67-171385.69</f>
        <v>1083707.0049740784</v>
      </c>
      <c r="O67" s="357">
        <f t="shared" si="95"/>
        <v>12102245.999789754</v>
      </c>
      <c r="P67" s="357">
        <v>12102246</v>
      </c>
      <c r="Q67" s="252"/>
      <c r="R67" s="252"/>
      <c r="S67" s="252"/>
      <c r="T67" s="239"/>
      <c r="U67" s="239"/>
      <c r="V67" s="239"/>
      <c r="W67" s="239"/>
      <c r="X67" s="239"/>
      <c r="Y67" s="239"/>
      <c r="Z67" s="239"/>
      <c r="AA67" s="239"/>
      <c r="AB67" s="239"/>
      <c r="AC67" s="239"/>
    </row>
    <row r="68" spans="1:29" ht="15" customHeight="1">
      <c r="A68" s="356" t="s">
        <v>1228</v>
      </c>
      <c r="B68" s="384" t="s">
        <v>1229</v>
      </c>
      <c r="C68" s="362"/>
      <c r="D68" s="358">
        <v>1673822</v>
      </c>
      <c r="E68" s="366">
        <v>1900000</v>
      </c>
      <c r="F68" s="396">
        <f t="shared" si="3"/>
        <v>1909500</v>
      </c>
      <c r="G68" s="357">
        <f t="shared" ref="G68:I68" si="100">(F68*0.5%)+F68</f>
        <v>1919047.5</v>
      </c>
      <c r="H68" s="357">
        <f t="shared" si="100"/>
        <v>1928642.7375</v>
      </c>
      <c r="I68" s="357">
        <f t="shared" si="100"/>
        <v>1938285.9511875</v>
      </c>
      <c r="J68" s="357">
        <f t="shared" si="5"/>
        <v>1947977.3809434376</v>
      </c>
      <c r="K68" s="357">
        <f t="shared" ref="K68:M68" si="101">(J68*0.5%)+J68</f>
        <v>1957717.2678481548</v>
      </c>
      <c r="L68" s="357">
        <f t="shared" si="101"/>
        <v>1967505.8541873954</v>
      </c>
      <c r="M68" s="357">
        <f t="shared" si="101"/>
        <v>1977343.3834583324</v>
      </c>
      <c r="N68" s="357">
        <f>(M68*0.5%)+M68+252721.82</f>
        <v>2239951.9203756242</v>
      </c>
      <c r="O68" s="357">
        <f t="shared" si="95"/>
        <v>21359793.995500445</v>
      </c>
      <c r="P68" s="357">
        <v>21359794</v>
      </c>
      <c r="Q68" s="252"/>
      <c r="R68" s="252"/>
      <c r="S68" s="252"/>
      <c r="T68" s="239"/>
      <c r="U68" s="239"/>
      <c r="V68" s="239"/>
      <c r="W68" s="239"/>
      <c r="X68" s="239"/>
      <c r="Y68" s="239"/>
      <c r="Z68" s="239"/>
      <c r="AA68" s="239"/>
      <c r="AB68" s="239"/>
      <c r="AC68" s="239"/>
    </row>
    <row r="69" spans="1:29" ht="15" customHeight="1">
      <c r="A69" s="356" t="s">
        <v>1230</v>
      </c>
      <c r="B69" s="384" t="s">
        <v>1231</v>
      </c>
      <c r="C69" s="362"/>
      <c r="D69" s="362"/>
      <c r="E69" s="366">
        <v>1750000</v>
      </c>
      <c r="F69" s="396">
        <f t="shared" si="3"/>
        <v>1758750</v>
      </c>
      <c r="G69" s="357">
        <f t="shared" ref="G69:I69" si="102">(F69*0.5%)+F69</f>
        <v>1767543.75</v>
      </c>
      <c r="H69" s="357">
        <f t="shared" si="102"/>
        <v>1776381.46875</v>
      </c>
      <c r="I69" s="357">
        <f t="shared" si="102"/>
        <v>1785263.3760937499</v>
      </c>
      <c r="J69" s="357">
        <f t="shared" si="5"/>
        <v>1794189.6929742186</v>
      </c>
      <c r="K69" s="357">
        <f t="shared" ref="K69:M69" si="103">(J69*0.5%)+J69</f>
        <v>1803160.6414390898</v>
      </c>
      <c r="L69" s="357">
        <f t="shared" si="103"/>
        <v>1812176.4446462851</v>
      </c>
      <c r="M69" s="357">
        <f t="shared" si="103"/>
        <v>1821237.3268695166</v>
      </c>
      <c r="N69" s="357">
        <f>(M69*0.5%)+M69-301780.21</f>
        <v>1528563.3035038642</v>
      </c>
      <c r="O69" s="357">
        <f t="shared" si="95"/>
        <v>17597266.004276723</v>
      </c>
      <c r="P69" s="357">
        <v>17597266</v>
      </c>
      <c r="Q69" s="252"/>
      <c r="R69" s="252"/>
      <c r="S69" s="252"/>
      <c r="T69" s="239"/>
      <c r="U69" s="239"/>
      <c r="V69" s="239"/>
      <c r="W69" s="239"/>
      <c r="X69" s="239"/>
      <c r="Y69" s="239"/>
      <c r="Z69" s="239"/>
      <c r="AA69" s="239"/>
      <c r="AB69" s="239"/>
      <c r="AC69" s="239"/>
    </row>
    <row r="70" spans="1:29" ht="15" customHeight="1">
      <c r="A70" s="356" t="s">
        <v>1232</v>
      </c>
      <c r="B70" s="384" t="s">
        <v>1233</v>
      </c>
      <c r="C70" s="362"/>
      <c r="D70" s="362"/>
      <c r="E70" s="366">
        <v>2050000</v>
      </c>
      <c r="F70" s="396">
        <f t="shared" si="3"/>
        <v>2060250</v>
      </c>
      <c r="G70" s="357">
        <f t="shared" ref="G70:I70" si="104">(F70*0.5%)+F70</f>
        <v>2070551.25</v>
      </c>
      <c r="H70" s="357">
        <f t="shared" si="104"/>
        <v>2080904.0062500001</v>
      </c>
      <c r="I70" s="357">
        <f t="shared" si="104"/>
        <v>2091308.5262812502</v>
      </c>
      <c r="J70" s="357">
        <f t="shared" si="5"/>
        <v>2101765.0689126565</v>
      </c>
      <c r="K70" s="357">
        <f t="shared" ref="K70:M70" si="105">(J70*0.5%)+J70</f>
        <v>2112273.89425722</v>
      </c>
      <c r="L70" s="357">
        <f t="shared" si="105"/>
        <v>2122835.2637285059</v>
      </c>
      <c r="M70" s="357">
        <f t="shared" si="105"/>
        <v>2133449.4400471486</v>
      </c>
      <c r="N70" s="357">
        <f>(M70*0.5%)+M70+289985.86</f>
        <v>2434102.5472473842</v>
      </c>
      <c r="O70" s="357">
        <f t="shared" si="95"/>
        <v>21257439.996724166</v>
      </c>
      <c r="P70" s="357">
        <v>21257440</v>
      </c>
      <c r="Q70" s="252"/>
      <c r="R70" s="252"/>
      <c r="S70" s="252"/>
      <c r="T70" s="239"/>
      <c r="U70" s="239"/>
      <c r="V70" s="239"/>
      <c r="W70" s="239"/>
      <c r="X70" s="239"/>
      <c r="Y70" s="239"/>
      <c r="Z70" s="239"/>
      <c r="AA70" s="239"/>
      <c r="AB70" s="239"/>
      <c r="AC70" s="239"/>
    </row>
    <row r="71" spans="1:29" ht="15" customHeight="1">
      <c r="A71" s="356" t="s">
        <v>1234</v>
      </c>
      <c r="B71" s="384" t="s">
        <v>1235</v>
      </c>
      <c r="C71" s="362"/>
      <c r="D71" s="362"/>
      <c r="E71" s="366">
        <v>3300000</v>
      </c>
      <c r="F71" s="396">
        <f t="shared" si="3"/>
        <v>3316500</v>
      </c>
      <c r="G71" s="357">
        <f t="shared" ref="G71:I71" si="106">(F71*0.5%)+F71</f>
        <v>3333082.5</v>
      </c>
      <c r="H71" s="357">
        <f t="shared" si="106"/>
        <v>3349747.9125000001</v>
      </c>
      <c r="I71" s="357">
        <f t="shared" si="106"/>
        <v>3366496.6520624999</v>
      </c>
      <c r="J71" s="357">
        <f t="shared" si="5"/>
        <v>3383329.1353228125</v>
      </c>
      <c r="K71" s="357">
        <f t="shared" ref="K71:M71" si="107">(J71*0.5%)+J71</f>
        <v>3400245.7809994267</v>
      </c>
      <c r="L71" s="357">
        <f t="shared" si="107"/>
        <v>3417247.0099044237</v>
      </c>
      <c r="M71" s="357">
        <f t="shared" si="107"/>
        <v>3434333.2449539457</v>
      </c>
      <c r="N71" s="357">
        <f>(M71*0.5%)+M71-313724.15</f>
        <v>3137780.7611787156</v>
      </c>
      <c r="O71" s="357">
        <f t="shared" si="95"/>
        <v>33438762.996921822</v>
      </c>
      <c r="P71" s="357">
        <v>33438763</v>
      </c>
      <c r="Q71" s="252"/>
      <c r="R71" s="252"/>
      <c r="S71" s="252"/>
      <c r="T71" s="239"/>
      <c r="U71" s="239"/>
      <c r="V71" s="239"/>
      <c r="W71" s="239"/>
      <c r="X71" s="239"/>
      <c r="Y71" s="239"/>
      <c r="Z71" s="239"/>
      <c r="AA71" s="239"/>
      <c r="AB71" s="239"/>
      <c r="AC71" s="239"/>
    </row>
    <row r="72" spans="1:29" ht="15" customHeight="1">
      <c r="A72" s="359" t="s">
        <v>1236</v>
      </c>
      <c r="B72" s="385" t="s">
        <v>1237</v>
      </c>
      <c r="C72" s="360">
        <f>SUM(C73:C84)</f>
        <v>0</v>
      </c>
      <c r="D72" s="360">
        <f t="shared" ref="D72:O72" si="108">SUM(D73:D84)</f>
        <v>0</v>
      </c>
      <c r="E72" s="360">
        <f t="shared" si="108"/>
        <v>3715050</v>
      </c>
      <c r="F72" s="397">
        <f t="shared" si="108"/>
        <v>3733625.25</v>
      </c>
      <c r="G72" s="360">
        <f t="shared" si="108"/>
        <v>3752293.3762500002</v>
      </c>
      <c r="H72" s="360">
        <f t="shared" si="108"/>
        <v>3771054.8431312498</v>
      </c>
      <c r="I72" s="360">
        <f t="shared" si="108"/>
        <v>3789910.1173469061</v>
      </c>
      <c r="J72" s="360">
        <f t="shared" si="108"/>
        <v>3808859.6679336401</v>
      </c>
      <c r="K72" s="360">
        <f t="shared" si="108"/>
        <v>3827903.9662733092</v>
      </c>
      <c r="L72" s="360">
        <f t="shared" si="108"/>
        <v>3847043.4861046756</v>
      </c>
      <c r="M72" s="360">
        <f t="shared" si="108"/>
        <v>3866278.7035351992</v>
      </c>
      <c r="N72" s="360">
        <f t="shared" si="108"/>
        <v>3221285.6870528744</v>
      </c>
      <c r="O72" s="360">
        <f t="shared" si="108"/>
        <v>37333305.097627848</v>
      </c>
      <c r="P72" s="357"/>
      <c r="Q72" s="239"/>
      <c r="R72" s="252"/>
      <c r="S72" s="252"/>
      <c r="T72" s="239"/>
      <c r="U72" s="239"/>
      <c r="V72" s="239"/>
      <c r="W72" s="239"/>
      <c r="X72" s="239"/>
      <c r="Y72" s="239"/>
      <c r="Z72" s="239"/>
      <c r="AA72" s="239"/>
      <c r="AB72" s="239"/>
      <c r="AC72" s="239"/>
    </row>
    <row r="73" spans="1:29" ht="15" customHeight="1">
      <c r="A73" s="356" t="s">
        <v>1238</v>
      </c>
      <c r="B73" s="384" t="s">
        <v>1239</v>
      </c>
      <c r="C73" s="362"/>
      <c r="D73" s="362"/>
      <c r="E73" s="366">
        <v>620000</v>
      </c>
      <c r="F73" s="396">
        <f t="shared" si="3"/>
        <v>623100</v>
      </c>
      <c r="G73" s="357">
        <f t="shared" ref="G73:I73" si="109">(F73*0.5%)+F73</f>
        <v>626215.5</v>
      </c>
      <c r="H73" s="357">
        <f t="shared" si="109"/>
        <v>629346.57750000001</v>
      </c>
      <c r="I73" s="357">
        <f t="shared" si="109"/>
        <v>632493.31038749998</v>
      </c>
      <c r="J73" s="357">
        <f t="shared" si="5"/>
        <v>635655.77693943749</v>
      </c>
      <c r="K73" s="357">
        <f t="shared" ref="K73:M73" si="110">(J73*0.5%)+J73</f>
        <v>638834.05582413473</v>
      </c>
      <c r="L73" s="357">
        <f t="shared" si="110"/>
        <v>642028.22610325541</v>
      </c>
      <c r="M73" s="357">
        <f t="shared" si="110"/>
        <v>645238.36723377171</v>
      </c>
      <c r="N73" s="357">
        <f>(M73*0.5%)+M73-3588.37</f>
        <v>644876.18906994059</v>
      </c>
      <c r="O73" s="357">
        <f t="shared" si="95"/>
        <v>6337788.0030580405</v>
      </c>
      <c r="P73" s="357">
        <v>6337788</v>
      </c>
      <c r="Q73" s="252"/>
      <c r="R73" s="252"/>
      <c r="S73" s="252"/>
      <c r="T73" s="239"/>
      <c r="U73" s="239"/>
      <c r="V73" s="239"/>
      <c r="W73" s="239"/>
      <c r="X73" s="239"/>
      <c r="Y73" s="239"/>
      <c r="Z73" s="239"/>
      <c r="AA73" s="239"/>
      <c r="AB73" s="239"/>
      <c r="AC73" s="239"/>
    </row>
    <row r="74" spans="1:29" ht="15" customHeight="1">
      <c r="A74" s="356" t="s">
        <v>1240</v>
      </c>
      <c r="B74" s="384" t="s">
        <v>1241</v>
      </c>
      <c r="C74" s="362"/>
      <c r="D74" s="362"/>
      <c r="E74" s="366">
        <v>482000</v>
      </c>
      <c r="F74" s="396">
        <f t="shared" si="3"/>
        <v>484410</v>
      </c>
      <c r="G74" s="357">
        <f t="shared" ref="G74:I74" si="111">(F74*0.5%)+F74</f>
        <v>486832.05</v>
      </c>
      <c r="H74" s="357">
        <f t="shared" si="111"/>
        <v>489266.21025</v>
      </c>
      <c r="I74" s="357">
        <f t="shared" si="111"/>
        <v>491712.54130124999</v>
      </c>
      <c r="J74" s="357">
        <f t="shared" si="5"/>
        <v>494171.10400775622</v>
      </c>
      <c r="K74" s="357">
        <f t="shared" ref="K74:M74" si="112">(J74*0.5%)+J74</f>
        <v>496641.95952779503</v>
      </c>
      <c r="L74" s="357">
        <f t="shared" si="112"/>
        <v>499125.16932543402</v>
      </c>
      <c r="M74" s="357">
        <f t="shared" si="112"/>
        <v>501620.79517206119</v>
      </c>
      <c r="N74" s="357">
        <f>(M74*0.5%)+M74-101291.73</f>
        <v>402837.16914792149</v>
      </c>
      <c r="O74" s="357">
        <f t="shared" si="95"/>
        <v>4828616.9987322185</v>
      </c>
      <c r="P74" s="357">
        <v>4828617</v>
      </c>
      <c r="Q74" s="252"/>
      <c r="R74" s="252"/>
      <c r="S74" s="252"/>
      <c r="T74" s="239"/>
      <c r="U74" s="239"/>
      <c r="V74" s="239"/>
      <c r="W74" s="239"/>
      <c r="X74" s="239"/>
      <c r="Y74" s="239"/>
      <c r="Z74" s="239"/>
      <c r="AA74" s="239"/>
      <c r="AB74" s="239"/>
      <c r="AC74" s="239"/>
    </row>
    <row r="75" spans="1:29" ht="15" customHeight="1">
      <c r="A75" s="356" t="s">
        <v>1242</v>
      </c>
      <c r="B75" s="384" t="s">
        <v>1243</v>
      </c>
      <c r="C75" s="362"/>
      <c r="D75" s="362"/>
      <c r="E75" s="366">
        <v>206000</v>
      </c>
      <c r="F75" s="396">
        <f t="shared" si="3"/>
        <v>207030</v>
      </c>
      <c r="G75" s="357">
        <f t="shared" ref="G75:I75" si="113">(F75*0.5%)+F75</f>
        <v>208065.15</v>
      </c>
      <c r="H75" s="357">
        <f t="shared" si="113"/>
        <v>209105.47574999998</v>
      </c>
      <c r="I75" s="357">
        <f t="shared" si="113"/>
        <v>210151.00312874999</v>
      </c>
      <c r="J75" s="357">
        <f t="shared" si="5"/>
        <v>211201.75814439374</v>
      </c>
      <c r="K75" s="357">
        <f t="shared" ref="K75:M75" si="114">(J75*0.5%)+J75</f>
        <v>212257.76693511571</v>
      </c>
      <c r="L75" s="357">
        <f t="shared" si="114"/>
        <v>213319.05576979127</v>
      </c>
      <c r="M75" s="357">
        <f t="shared" si="114"/>
        <v>214385.65104864023</v>
      </c>
      <c r="N75" s="357">
        <f>(M75*0.5%)+M75-45725.44</f>
        <v>169732.13930388342</v>
      </c>
      <c r="O75" s="357">
        <f t="shared" si="95"/>
        <v>2061248.0000805743</v>
      </c>
      <c r="P75" s="357">
        <v>2061248</v>
      </c>
      <c r="Q75" s="252"/>
      <c r="R75" s="252"/>
      <c r="S75" s="252"/>
      <c r="T75" s="239"/>
      <c r="U75" s="239"/>
      <c r="V75" s="239"/>
      <c r="W75" s="239"/>
      <c r="X75" s="239"/>
      <c r="Y75" s="239"/>
      <c r="Z75" s="239"/>
      <c r="AA75" s="239"/>
      <c r="AB75" s="239"/>
      <c r="AC75" s="239"/>
    </row>
    <row r="76" spans="1:29" ht="15" customHeight="1">
      <c r="A76" s="356" t="s">
        <v>1244</v>
      </c>
      <c r="B76" s="384" t="s">
        <v>1245</v>
      </c>
      <c r="C76" s="362"/>
      <c r="D76" s="362"/>
      <c r="E76" s="366">
        <v>113000</v>
      </c>
      <c r="F76" s="396">
        <f t="shared" si="3"/>
        <v>113565</v>
      </c>
      <c r="G76" s="357">
        <f t="shared" ref="G76:I76" si="115">(F76*0.5%)+F76</f>
        <v>114132.825</v>
      </c>
      <c r="H76" s="357">
        <f t="shared" si="115"/>
        <v>114703.48912499999</v>
      </c>
      <c r="I76" s="357">
        <f t="shared" si="115"/>
        <v>115277.00657062499</v>
      </c>
      <c r="J76" s="357">
        <f t="shared" si="5"/>
        <v>115853.39160347811</v>
      </c>
      <c r="K76" s="357">
        <f t="shared" ref="K76:M76" si="116">(J76*0.5%)+J76</f>
        <v>116432.65856149551</v>
      </c>
      <c r="L76" s="357">
        <f t="shared" si="116"/>
        <v>117014.82185430299</v>
      </c>
      <c r="M76" s="357">
        <f t="shared" si="116"/>
        <v>117599.89596357451</v>
      </c>
      <c r="N76" s="357">
        <f>(M76*0.5%)+M76-24570.98</f>
        <v>93616.915443392383</v>
      </c>
      <c r="O76" s="357">
        <f t="shared" si="95"/>
        <v>1131196.0041218686</v>
      </c>
      <c r="P76" s="357">
        <v>1131196</v>
      </c>
      <c r="Q76" s="252"/>
      <c r="R76" s="252"/>
      <c r="S76" s="252"/>
      <c r="T76" s="239"/>
      <c r="U76" s="239"/>
      <c r="V76" s="239"/>
      <c r="W76" s="239"/>
      <c r="X76" s="239"/>
      <c r="Y76" s="239"/>
      <c r="Z76" s="239"/>
      <c r="AA76" s="239"/>
      <c r="AB76" s="239"/>
      <c r="AC76" s="239"/>
    </row>
    <row r="77" spans="1:29" ht="15" customHeight="1">
      <c r="A77" s="356" t="s">
        <v>1246</v>
      </c>
      <c r="B77" s="384" t="s">
        <v>1247</v>
      </c>
      <c r="C77" s="362"/>
      <c r="D77" s="362"/>
      <c r="E77" s="366">
        <v>70000</v>
      </c>
      <c r="F77" s="396">
        <f t="shared" si="3"/>
        <v>70350</v>
      </c>
      <c r="G77" s="357">
        <f t="shared" ref="G77:I77" si="117">(F77*0.5%)+F77</f>
        <v>70701.75</v>
      </c>
      <c r="H77" s="357">
        <f t="shared" si="117"/>
        <v>71055.258749999994</v>
      </c>
      <c r="I77" s="357">
        <f t="shared" si="117"/>
        <v>71410.535043749987</v>
      </c>
      <c r="J77" s="357">
        <f t="shared" si="5"/>
        <v>71767.587718968731</v>
      </c>
      <c r="K77" s="357">
        <f t="shared" ref="K77:M77" si="118">(J77*0.5%)+J77</f>
        <v>72126.425657563581</v>
      </c>
      <c r="L77" s="357">
        <f t="shared" si="118"/>
        <v>72487.057785851401</v>
      </c>
      <c r="M77" s="357">
        <f t="shared" si="118"/>
        <v>72849.493074780665</v>
      </c>
      <c r="N77" s="357">
        <f>(M77*0.5%)+M77-14619.85</f>
        <v>58593.890540154571</v>
      </c>
      <c r="O77" s="357">
        <f t="shared" si="95"/>
        <v>701341.99857106898</v>
      </c>
      <c r="P77" s="357">
        <v>701342</v>
      </c>
      <c r="Q77" s="252"/>
      <c r="R77" s="252"/>
      <c r="S77" s="252"/>
      <c r="T77" s="239"/>
      <c r="U77" s="239"/>
      <c r="V77" s="239"/>
      <c r="W77" s="239"/>
      <c r="X77" s="239"/>
      <c r="Y77" s="239"/>
      <c r="Z77" s="239"/>
      <c r="AA77" s="239"/>
      <c r="AB77" s="239"/>
      <c r="AC77" s="239"/>
    </row>
    <row r="78" spans="1:29" ht="15" customHeight="1">
      <c r="A78" s="356" t="s">
        <v>1248</v>
      </c>
      <c r="B78" s="384" t="s">
        <v>1249</v>
      </c>
      <c r="C78" s="362"/>
      <c r="D78" s="362"/>
      <c r="E78" s="366">
        <v>52000</v>
      </c>
      <c r="F78" s="396">
        <f t="shared" si="3"/>
        <v>52260</v>
      </c>
      <c r="G78" s="357">
        <f t="shared" ref="G78:I78" si="119">(F78*0.5%)+F78</f>
        <v>52521.3</v>
      </c>
      <c r="H78" s="357">
        <f t="shared" si="119"/>
        <v>52783.906500000005</v>
      </c>
      <c r="I78" s="357">
        <f t="shared" si="119"/>
        <v>53047.826032500001</v>
      </c>
      <c r="J78" s="357">
        <f t="shared" si="5"/>
        <v>53313.065162662504</v>
      </c>
      <c r="K78" s="357">
        <f t="shared" ref="K78:M78" si="120">(J78*0.5%)+J78</f>
        <v>53579.630488475814</v>
      </c>
      <c r="L78" s="357">
        <f t="shared" si="120"/>
        <v>53847.528640918194</v>
      </c>
      <c r="M78" s="357">
        <f t="shared" si="120"/>
        <v>54116.766284122787</v>
      </c>
      <c r="N78" s="357">
        <f>(M78*0.5%)+M78-11181.37</f>
        <v>43205.980115543396</v>
      </c>
      <c r="O78" s="357">
        <f t="shared" si="95"/>
        <v>520676.00322422269</v>
      </c>
      <c r="P78" s="357">
        <v>520676</v>
      </c>
      <c r="Q78" s="252"/>
      <c r="R78" s="252"/>
      <c r="S78" s="252"/>
      <c r="T78" s="239"/>
      <c r="U78" s="239"/>
      <c r="V78" s="239"/>
      <c r="W78" s="239"/>
      <c r="X78" s="239"/>
      <c r="Y78" s="239"/>
      <c r="Z78" s="239"/>
      <c r="AA78" s="239"/>
      <c r="AB78" s="239"/>
      <c r="AC78" s="239"/>
    </row>
    <row r="79" spans="1:29" ht="15" customHeight="1">
      <c r="A79" s="356" t="s">
        <v>1250</v>
      </c>
      <c r="B79" s="384" t="s">
        <v>1251</v>
      </c>
      <c r="C79" s="362"/>
      <c r="D79" s="362"/>
      <c r="E79" s="366">
        <v>152000</v>
      </c>
      <c r="F79" s="396">
        <f t="shared" si="3"/>
        <v>152760</v>
      </c>
      <c r="G79" s="357">
        <f t="shared" ref="G79:I79" si="121">(F79*0.5%)+F79</f>
        <v>153523.79999999999</v>
      </c>
      <c r="H79" s="357">
        <f t="shared" si="121"/>
        <v>154291.41899999999</v>
      </c>
      <c r="I79" s="357">
        <f t="shared" si="121"/>
        <v>155062.87609499999</v>
      </c>
      <c r="J79" s="357">
        <f t="shared" si="5"/>
        <v>155838.19047547498</v>
      </c>
      <c r="K79" s="357">
        <f t="shared" ref="K79:M79" si="122">(J79*0.5%)+J79</f>
        <v>156617.38142785235</v>
      </c>
      <c r="L79" s="357">
        <f t="shared" si="122"/>
        <v>157400.4683349916</v>
      </c>
      <c r="M79" s="357">
        <f t="shared" si="122"/>
        <v>158187.47067666656</v>
      </c>
      <c r="N79" s="357">
        <f>(M79*0.5%)+M79-23983.01</f>
        <v>134995.3980300499</v>
      </c>
      <c r="O79" s="357">
        <f t="shared" si="95"/>
        <v>1530677.0040400357</v>
      </c>
      <c r="P79" s="357">
        <v>1530677</v>
      </c>
      <c r="Q79" s="252"/>
      <c r="R79" s="252"/>
      <c r="S79" s="252"/>
      <c r="T79" s="239"/>
      <c r="U79" s="239"/>
      <c r="V79" s="239"/>
      <c r="W79" s="239"/>
      <c r="X79" s="239"/>
      <c r="Y79" s="239"/>
      <c r="Z79" s="239"/>
      <c r="AA79" s="239"/>
      <c r="AB79" s="239"/>
      <c r="AC79" s="239"/>
    </row>
    <row r="80" spans="1:29" ht="15" customHeight="1">
      <c r="A80" s="356" t="s">
        <v>1252</v>
      </c>
      <c r="B80" s="384" t="s">
        <v>1253</v>
      </c>
      <c r="C80" s="362"/>
      <c r="D80" s="362"/>
      <c r="E80" s="366">
        <v>1790000</v>
      </c>
      <c r="F80" s="396">
        <f t="shared" si="3"/>
        <v>1798950</v>
      </c>
      <c r="G80" s="357">
        <f t="shared" ref="G80:I80" si="123">(F80*0.5%)+F80</f>
        <v>1807944.75</v>
      </c>
      <c r="H80" s="357">
        <f t="shared" si="123"/>
        <v>1816984.4737499999</v>
      </c>
      <c r="I80" s="357">
        <f t="shared" si="123"/>
        <v>1826069.3961187499</v>
      </c>
      <c r="J80" s="357">
        <f t="shared" si="5"/>
        <v>1835199.7430993435</v>
      </c>
      <c r="K80" s="357">
        <f t="shared" ref="K80:M80" si="124">(J80*0.5%)+J80</f>
        <v>1844375.7418148401</v>
      </c>
      <c r="L80" s="357">
        <f t="shared" si="124"/>
        <v>1853597.6205239142</v>
      </c>
      <c r="M80" s="357">
        <f t="shared" si="124"/>
        <v>1862865.6086265338</v>
      </c>
      <c r="N80" s="357">
        <f>(M80*0.5%)+M80-391596.27</f>
        <v>1480583.6666696663</v>
      </c>
      <c r="O80" s="357">
        <f t="shared" si="95"/>
        <v>17916571.000603046</v>
      </c>
      <c r="P80" s="357">
        <v>17916571</v>
      </c>
      <c r="Q80" s="252"/>
      <c r="R80" s="252"/>
      <c r="S80" s="252"/>
      <c r="T80" s="239"/>
      <c r="U80" s="239"/>
      <c r="V80" s="239"/>
      <c r="W80" s="239"/>
      <c r="X80" s="239"/>
      <c r="Y80" s="239"/>
      <c r="Z80" s="239"/>
      <c r="AA80" s="239"/>
      <c r="AB80" s="239"/>
      <c r="AC80" s="239"/>
    </row>
    <row r="81" spans="1:29" ht="15" customHeight="1">
      <c r="A81" s="356" t="s">
        <v>1254</v>
      </c>
      <c r="B81" s="384" t="s">
        <v>1255</v>
      </c>
      <c r="C81" s="362"/>
      <c r="D81" s="362"/>
      <c r="E81" s="366">
        <v>5300</v>
      </c>
      <c r="F81" s="396">
        <f t="shared" ref="F81:F84" si="125">(E81*0.5%+E81)</f>
        <v>5326.5</v>
      </c>
      <c r="G81" s="357">
        <f t="shared" ref="G81:I81" si="126">(F81*0.5%)+F81</f>
        <v>5353.1324999999997</v>
      </c>
      <c r="H81" s="357">
        <f t="shared" si="126"/>
        <v>5379.8981624999997</v>
      </c>
      <c r="I81" s="357">
        <f t="shared" si="126"/>
        <v>5406.7976533124993</v>
      </c>
      <c r="J81" s="357">
        <f t="shared" ref="J81:J84" si="127">(I81*(0.5%)+I81)</f>
        <v>5433.8316415790614</v>
      </c>
      <c r="K81" s="357">
        <f t="shared" ref="K81:M81" si="128">(J81*0.5%)+J81</f>
        <v>5461.000799786957</v>
      </c>
      <c r="L81" s="357">
        <f t="shared" si="128"/>
        <v>5488.3058037858918</v>
      </c>
      <c r="M81" s="357">
        <f t="shared" si="128"/>
        <v>5515.7473328048209</v>
      </c>
      <c r="N81" s="357">
        <f>(M81*0.5%)+M81-616.46</f>
        <v>4926.8660694688451</v>
      </c>
      <c r="O81" s="357">
        <f t="shared" si="95"/>
        <v>53592.07996323808</v>
      </c>
      <c r="P81" s="357">
        <v>54825</v>
      </c>
      <c r="Q81" s="252"/>
      <c r="R81" s="252"/>
      <c r="S81" s="252"/>
      <c r="T81" s="239"/>
      <c r="U81" s="239"/>
      <c r="V81" s="239"/>
      <c r="W81" s="239"/>
      <c r="X81" s="239"/>
      <c r="Y81" s="239"/>
      <c r="Z81" s="239"/>
      <c r="AA81" s="239"/>
      <c r="AB81" s="239"/>
      <c r="AC81" s="239"/>
    </row>
    <row r="82" spans="1:29" ht="15" customHeight="1">
      <c r="A82" s="356" t="s">
        <v>1256</v>
      </c>
      <c r="B82" s="384" t="s">
        <v>1257</v>
      </c>
      <c r="C82" s="362"/>
      <c r="D82" s="362"/>
      <c r="E82" s="366">
        <v>1750</v>
      </c>
      <c r="F82" s="396">
        <f t="shared" si="125"/>
        <v>1758.75</v>
      </c>
      <c r="G82" s="357">
        <f t="shared" ref="G82:I82" si="129">(F82*0.5%)+F82</f>
        <v>1767.54375</v>
      </c>
      <c r="H82" s="357">
        <f t="shared" si="129"/>
        <v>1776.3814687500001</v>
      </c>
      <c r="I82" s="357">
        <f t="shared" si="129"/>
        <v>1785.2633760937501</v>
      </c>
      <c r="J82" s="357">
        <f t="shared" si="127"/>
        <v>1794.1896929742188</v>
      </c>
      <c r="K82" s="357">
        <f t="shared" ref="K82:M82" si="130">(J82*0.5%)+J82</f>
        <v>1803.1606414390899</v>
      </c>
      <c r="L82" s="357">
        <f t="shared" si="130"/>
        <v>1812.1764446462853</v>
      </c>
      <c r="M82" s="357">
        <f t="shared" si="130"/>
        <v>1821.2373268695167</v>
      </c>
      <c r="N82" s="357">
        <f>(M82*0.5%)+M82-57.05</f>
        <v>1773.2935135038642</v>
      </c>
      <c r="O82" s="357">
        <f t="shared" si="95"/>
        <v>17841.996214276725</v>
      </c>
      <c r="P82" s="357">
        <v>17842</v>
      </c>
      <c r="Q82" s="252"/>
      <c r="R82" s="252"/>
      <c r="S82" s="252"/>
      <c r="T82" s="239"/>
      <c r="U82" s="239"/>
      <c r="V82" s="239"/>
      <c r="W82" s="239"/>
      <c r="X82" s="239"/>
      <c r="Y82" s="239"/>
      <c r="Z82" s="239"/>
      <c r="AA82" s="239"/>
      <c r="AB82" s="239"/>
      <c r="AC82" s="239"/>
    </row>
    <row r="83" spans="1:29" ht="15" customHeight="1">
      <c r="A83" s="356" t="s">
        <v>1258</v>
      </c>
      <c r="B83" s="384" t="s">
        <v>1259</v>
      </c>
      <c r="C83" s="362"/>
      <c r="D83" s="362"/>
      <c r="E83" s="366">
        <v>86500</v>
      </c>
      <c r="F83" s="396">
        <f t="shared" si="125"/>
        <v>86932.5</v>
      </c>
      <c r="G83" s="357">
        <f t="shared" ref="G83:I83" si="131">(F83*0.5%)+F83</f>
        <v>87367.162500000006</v>
      </c>
      <c r="H83" s="357">
        <f t="shared" si="131"/>
        <v>87803.9983125</v>
      </c>
      <c r="I83" s="357">
        <f t="shared" si="131"/>
        <v>88243.018304062498</v>
      </c>
      <c r="J83" s="357">
        <f t="shared" si="127"/>
        <v>88684.233395582807</v>
      </c>
      <c r="K83" s="357">
        <f t="shared" ref="K83:M83" si="132">(J83*0.5%)+J83</f>
        <v>89127.654562560725</v>
      </c>
      <c r="L83" s="357">
        <f t="shared" si="132"/>
        <v>89573.292835373533</v>
      </c>
      <c r="M83" s="357">
        <f t="shared" si="132"/>
        <v>90021.159299550403</v>
      </c>
      <c r="N83" s="357">
        <f>(M83*0.5%)+M83-19213.28</f>
        <v>71257.985096048156</v>
      </c>
      <c r="O83" s="357">
        <f t="shared" si="95"/>
        <v>865511.00430567795</v>
      </c>
      <c r="P83" s="357">
        <v>865511</v>
      </c>
      <c r="Q83" s="252"/>
      <c r="R83" s="252"/>
      <c r="S83" s="252"/>
      <c r="T83" s="239"/>
      <c r="U83" s="239"/>
      <c r="V83" s="239"/>
      <c r="W83" s="239"/>
      <c r="X83" s="239"/>
      <c r="Y83" s="239"/>
      <c r="Z83" s="239"/>
      <c r="AA83" s="239"/>
      <c r="AB83" s="239"/>
      <c r="AC83" s="239"/>
    </row>
    <row r="84" spans="1:29" ht="15" customHeight="1">
      <c r="A84" s="356" t="s">
        <v>1260</v>
      </c>
      <c r="B84" s="384" t="s">
        <v>1261</v>
      </c>
      <c r="C84" s="362"/>
      <c r="D84" s="362"/>
      <c r="E84" s="366">
        <v>136500</v>
      </c>
      <c r="F84" s="396">
        <f t="shared" si="125"/>
        <v>137182.5</v>
      </c>
      <c r="G84" s="357">
        <f t="shared" ref="G84:I84" si="133">(F84*0.5%)+F84</f>
        <v>137868.41250000001</v>
      </c>
      <c r="H84" s="357">
        <f t="shared" si="133"/>
        <v>138557.75456250002</v>
      </c>
      <c r="I84" s="357">
        <f t="shared" si="133"/>
        <v>139250.54333531251</v>
      </c>
      <c r="J84" s="357">
        <f t="shared" si="127"/>
        <v>139946.79605198908</v>
      </c>
      <c r="K84" s="357">
        <f t="shared" ref="K84:M84" si="134">(J84*0.5%)+J84</f>
        <v>140646.53003224902</v>
      </c>
      <c r="L84" s="357">
        <f t="shared" si="134"/>
        <v>141349.76268241028</v>
      </c>
      <c r="M84" s="357">
        <f t="shared" si="134"/>
        <v>142056.51149582234</v>
      </c>
      <c r="N84" s="357">
        <f>(M84*0.5%)+M84-27880.6</f>
        <v>114886.19405330144</v>
      </c>
      <c r="O84" s="357">
        <f t="shared" si="95"/>
        <v>1368245.0047135847</v>
      </c>
      <c r="P84" s="357">
        <v>1368245</v>
      </c>
      <c r="Q84" s="252"/>
      <c r="R84" s="252"/>
      <c r="S84" s="252"/>
      <c r="T84" s="239"/>
      <c r="U84" s="239"/>
      <c r="V84" s="239"/>
      <c r="W84" s="239"/>
      <c r="X84" s="239"/>
      <c r="Y84" s="239"/>
      <c r="Z84" s="239"/>
      <c r="AA84" s="239"/>
      <c r="AB84" s="239"/>
      <c r="AC84" s="239"/>
    </row>
    <row r="85" spans="1:29" ht="15" customHeight="1">
      <c r="A85" s="359" t="s">
        <v>1262</v>
      </c>
      <c r="B85" s="385" t="s">
        <v>1263</v>
      </c>
      <c r="C85" s="360">
        <f>+C86</f>
        <v>0</v>
      </c>
      <c r="D85" s="360">
        <f t="shared" ref="D85:O85" si="135">+D86</f>
        <v>3750300</v>
      </c>
      <c r="E85" s="360">
        <f t="shared" si="135"/>
        <v>301000000</v>
      </c>
      <c r="F85" s="397">
        <f t="shared" si="135"/>
        <v>302505000</v>
      </c>
      <c r="G85" s="360">
        <f t="shared" si="135"/>
        <v>304017525</v>
      </c>
      <c r="H85" s="360">
        <f t="shared" si="135"/>
        <v>305537612.625</v>
      </c>
      <c r="I85" s="360">
        <f t="shared" si="135"/>
        <v>307065300.68812501</v>
      </c>
      <c r="J85" s="360">
        <f t="shared" si="135"/>
        <v>308600627.19156563</v>
      </c>
      <c r="K85" s="360">
        <f t="shared" si="135"/>
        <v>310143630.32752347</v>
      </c>
      <c r="L85" s="360">
        <f t="shared" si="135"/>
        <v>311694348.47916108</v>
      </c>
      <c r="M85" s="360">
        <f t="shared" si="135"/>
        <v>313252820.2215569</v>
      </c>
      <c r="N85" s="360">
        <f t="shared" si="135"/>
        <v>311522584.46266466</v>
      </c>
      <c r="O85" s="360">
        <f t="shared" si="135"/>
        <v>3079089748.9955969</v>
      </c>
      <c r="P85" s="369"/>
      <c r="Q85" s="239"/>
      <c r="R85" s="252"/>
      <c r="S85" s="252"/>
      <c r="T85" s="239"/>
      <c r="U85" s="239"/>
      <c r="V85" s="239"/>
      <c r="W85" s="239"/>
      <c r="X85" s="239"/>
      <c r="Y85" s="239"/>
      <c r="Z85" s="239"/>
      <c r="AA85" s="239"/>
      <c r="AB85" s="239"/>
      <c r="AC85" s="239"/>
    </row>
    <row r="86" spans="1:29" ht="15" customHeight="1">
      <c r="A86" s="356" t="s">
        <v>1264</v>
      </c>
      <c r="B86" s="384" t="s">
        <v>1265</v>
      </c>
      <c r="C86" s="362"/>
      <c r="D86" s="358">
        <v>3750300</v>
      </c>
      <c r="E86" s="366">
        <v>301000000</v>
      </c>
      <c r="F86" s="396">
        <f t="shared" ref="F86" si="136">(E86*0.5%+E86)</f>
        <v>302505000</v>
      </c>
      <c r="G86" s="357">
        <f t="shared" ref="G86:I86" si="137">(F86*0.5%)+F86</f>
        <v>304017525</v>
      </c>
      <c r="H86" s="357">
        <f t="shared" si="137"/>
        <v>305537612.625</v>
      </c>
      <c r="I86" s="357">
        <f t="shared" si="137"/>
        <v>307065300.68812501</v>
      </c>
      <c r="J86" s="357">
        <f t="shared" ref="J86" si="138">(I86*(0.5%)+I86)</f>
        <v>308600627.19156563</v>
      </c>
      <c r="K86" s="357">
        <f t="shared" ref="K86:M86" si="139">(J86*0.5%)+J86</f>
        <v>310143630.32752347</v>
      </c>
      <c r="L86" s="357">
        <f t="shared" si="139"/>
        <v>311694348.47916108</v>
      </c>
      <c r="M86" s="357">
        <f t="shared" si="139"/>
        <v>313252820.2215569</v>
      </c>
      <c r="N86" s="357">
        <f>(M86*0.5%)+M86-3296499.86</f>
        <v>311522584.46266466</v>
      </c>
      <c r="O86" s="357">
        <f t="shared" si="95"/>
        <v>3079089748.9955969</v>
      </c>
      <c r="P86" s="357">
        <v>3079089749</v>
      </c>
      <c r="Q86" s="252">
        <f t="shared" ref="Q86" si="140">+P86-O86</f>
        <v>4.4031143188476563E-3</v>
      </c>
      <c r="R86" s="252">
        <f>+C86+D86</f>
        <v>3750300</v>
      </c>
      <c r="S86" s="252">
        <f>+P86-R86</f>
        <v>3075339449</v>
      </c>
      <c r="T86" s="239"/>
      <c r="U86" s="239"/>
      <c r="V86" s="239"/>
      <c r="W86" s="239"/>
      <c r="X86" s="239"/>
      <c r="Y86" s="239"/>
      <c r="Z86" s="239"/>
      <c r="AA86" s="239"/>
      <c r="AB86" s="239"/>
      <c r="AC86" s="239"/>
    </row>
    <row r="87" spans="1:29" ht="15" customHeight="1">
      <c r="A87" s="359"/>
      <c r="B87" s="383" t="s">
        <v>703</v>
      </c>
      <c r="C87" s="355" cm="1">
        <f t="array" ref="C87">SUM(C88:C94)</f>
        <v>0</v>
      </c>
      <c r="D87" s="355" cm="1">
        <f t="array" ref="D87">SUM(D88:D94)</f>
        <v>0</v>
      </c>
      <c r="E87" s="355" cm="1">
        <f t="array" ref="E87">SUM(E88:E94)</f>
        <v>0</v>
      </c>
      <c r="F87" s="395" cm="1">
        <f t="array" ref="F87">SUM(F88:F94)</f>
        <v>0</v>
      </c>
      <c r="G87" s="355" cm="1">
        <f t="array" ref="G87">SUM(G88:G94)</f>
        <v>0</v>
      </c>
      <c r="H87" s="355" cm="1">
        <f t="array" ref="H87">SUM(H88:H94)</f>
        <v>0</v>
      </c>
      <c r="I87" s="355" cm="1">
        <f t="array" ref="I87">SUM(I88:I94)</f>
        <v>0</v>
      </c>
      <c r="J87" s="355" cm="1">
        <f t="array" ref="J87">SUM(J88:J94)</f>
        <v>0</v>
      </c>
      <c r="K87" s="355" cm="1">
        <f t="array" ref="K87">SUM(K88:K94)</f>
        <v>0</v>
      </c>
      <c r="L87" s="355" cm="1">
        <f t="array" ref="L87">SUM(L88:L94)</f>
        <v>0</v>
      </c>
      <c r="M87" s="355" cm="1">
        <f t="array" ref="M87">SUM(M88:M94)</f>
        <v>0</v>
      </c>
      <c r="N87" s="355" cm="1">
        <f t="array" ref="N87">SUM(N88:N94)</f>
        <v>0</v>
      </c>
      <c r="O87" s="355" cm="1">
        <f t="array" ref="O87">SUM(O88:O94)</f>
        <v>0</v>
      </c>
      <c r="P87" s="369"/>
      <c r="Q87" s="239"/>
      <c r="R87" s="252"/>
      <c r="S87" s="252">
        <f>+S86/10</f>
        <v>307533944.89999998</v>
      </c>
      <c r="T87" s="239"/>
      <c r="U87" s="239"/>
      <c r="V87" s="239"/>
      <c r="W87" s="239"/>
      <c r="X87" s="239"/>
      <c r="Y87" s="239"/>
      <c r="Z87" s="239"/>
      <c r="AA87" s="239"/>
      <c r="AB87" s="239"/>
      <c r="AC87" s="239"/>
    </row>
    <row r="88" spans="1:29" ht="16.5" customHeight="1">
      <c r="A88" s="356" t="s">
        <v>704</v>
      </c>
      <c r="B88" s="384" t="s">
        <v>705</v>
      </c>
      <c r="C88" s="357"/>
      <c r="D88" s="357"/>
      <c r="E88" s="357"/>
      <c r="F88" s="396">
        <f t="shared" ref="F88:F94" si="141">(E88*0.5%+E88)</f>
        <v>0</v>
      </c>
      <c r="G88" s="357">
        <f t="shared" ref="G88:I88" si="142">(F88*0.5%)+F88</f>
        <v>0</v>
      </c>
      <c r="H88" s="357">
        <f t="shared" si="142"/>
        <v>0</v>
      </c>
      <c r="I88" s="357">
        <f t="shared" si="142"/>
        <v>0</v>
      </c>
      <c r="J88" s="357">
        <f t="shared" ref="J88:J94" si="143">(I88*(0.5%)+I88)</f>
        <v>0</v>
      </c>
      <c r="K88" s="357">
        <f t="shared" ref="K88:N88" si="144">(J88*0.5%)+J88</f>
        <v>0</v>
      </c>
      <c r="L88" s="357">
        <f t="shared" si="144"/>
        <v>0</v>
      </c>
      <c r="M88" s="357">
        <f t="shared" si="144"/>
        <v>0</v>
      </c>
      <c r="N88" s="357">
        <f t="shared" si="144"/>
        <v>0</v>
      </c>
      <c r="O88" s="357">
        <f t="shared" si="95"/>
        <v>0</v>
      </c>
      <c r="P88" s="369"/>
      <c r="Q88" s="239"/>
      <c r="R88" s="239"/>
      <c r="S88" s="239"/>
      <c r="T88" s="239"/>
      <c r="U88" s="239"/>
      <c r="V88" s="239"/>
      <c r="W88" s="239"/>
      <c r="X88" s="239"/>
      <c r="Y88" s="239"/>
      <c r="Z88" s="239"/>
      <c r="AA88" s="239"/>
      <c r="AB88" s="239"/>
      <c r="AC88" s="239"/>
    </row>
    <row r="89" spans="1:29" ht="16.5" customHeight="1">
      <c r="A89" s="356" t="s">
        <v>706</v>
      </c>
      <c r="B89" s="384" t="s">
        <v>707</v>
      </c>
      <c r="C89" s="357"/>
      <c r="D89" s="357"/>
      <c r="E89" s="357"/>
      <c r="F89" s="396">
        <f t="shared" si="141"/>
        <v>0</v>
      </c>
      <c r="G89" s="357">
        <f t="shared" ref="G89:I89" si="145">(F89*0.5%)+F89</f>
        <v>0</v>
      </c>
      <c r="H89" s="357">
        <f t="shared" si="145"/>
        <v>0</v>
      </c>
      <c r="I89" s="357">
        <f t="shared" si="145"/>
        <v>0</v>
      </c>
      <c r="J89" s="357">
        <f t="shared" si="143"/>
        <v>0</v>
      </c>
      <c r="K89" s="357">
        <f t="shared" ref="K89:N89" si="146">(J89*0.5%)+J89</f>
        <v>0</v>
      </c>
      <c r="L89" s="357">
        <f t="shared" si="146"/>
        <v>0</v>
      </c>
      <c r="M89" s="357">
        <f t="shared" si="146"/>
        <v>0</v>
      </c>
      <c r="N89" s="357">
        <f t="shared" si="146"/>
        <v>0</v>
      </c>
      <c r="O89" s="357">
        <f t="shared" si="95"/>
        <v>0</v>
      </c>
      <c r="P89" s="369"/>
      <c r="Q89" s="239"/>
      <c r="R89" s="239"/>
      <c r="S89" s="239"/>
      <c r="T89" s="239"/>
      <c r="U89" s="239"/>
      <c r="V89" s="239"/>
      <c r="W89" s="239"/>
      <c r="X89" s="239"/>
      <c r="Y89" s="239"/>
      <c r="Z89" s="239"/>
      <c r="AA89" s="239"/>
      <c r="AB89" s="239"/>
      <c r="AC89" s="239"/>
    </row>
    <row r="90" spans="1:29" ht="16.5" customHeight="1">
      <c r="A90" s="356" t="s">
        <v>708</v>
      </c>
      <c r="B90" s="384" t="s">
        <v>709</v>
      </c>
      <c r="C90" s="357"/>
      <c r="D90" s="357"/>
      <c r="E90" s="357"/>
      <c r="F90" s="396">
        <f t="shared" si="141"/>
        <v>0</v>
      </c>
      <c r="G90" s="357">
        <f t="shared" ref="G90:I90" si="147">(F90*0.5%)+F90</f>
        <v>0</v>
      </c>
      <c r="H90" s="357">
        <f t="shared" si="147"/>
        <v>0</v>
      </c>
      <c r="I90" s="357">
        <f t="shared" si="147"/>
        <v>0</v>
      </c>
      <c r="J90" s="357">
        <f t="shared" si="143"/>
        <v>0</v>
      </c>
      <c r="K90" s="357">
        <f t="shared" ref="K90:N90" si="148">(J90*0.5%)+J90</f>
        <v>0</v>
      </c>
      <c r="L90" s="357">
        <f t="shared" si="148"/>
        <v>0</v>
      </c>
      <c r="M90" s="357">
        <f t="shared" si="148"/>
        <v>0</v>
      </c>
      <c r="N90" s="357">
        <f t="shared" si="148"/>
        <v>0</v>
      </c>
      <c r="O90" s="357">
        <f t="shared" si="95"/>
        <v>0</v>
      </c>
      <c r="P90" s="369"/>
      <c r="Q90" s="239"/>
      <c r="R90" s="239"/>
      <c r="S90" s="239"/>
      <c r="T90" s="239"/>
      <c r="U90" s="239"/>
      <c r="V90" s="239"/>
      <c r="W90" s="239"/>
      <c r="X90" s="239"/>
      <c r="Y90" s="239"/>
      <c r="Z90" s="239"/>
      <c r="AA90" s="239"/>
      <c r="AB90" s="239"/>
      <c r="AC90" s="239"/>
    </row>
    <row r="91" spans="1:29" ht="16.5" customHeight="1">
      <c r="A91" s="356" t="s">
        <v>710</v>
      </c>
      <c r="B91" s="384" t="s">
        <v>711</v>
      </c>
      <c r="C91" s="357"/>
      <c r="D91" s="357"/>
      <c r="E91" s="357"/>
      <c r="F91" s="396">
        <f t="shared" si="141"/>
        <v>0</v>
      </c>
      <c r="G91" s="357">
        <f t="shared" ref="G91:I91" si="149">(F91*0.5%)+F91</f>
        <v>0</v>
      </c>
      <c r="H91" s="357">
        <f t="shared" si="149"/>
        <v>0</v>
      </c>
      <c r="I91" s="357">
        <f t="shared" si="149"/>
        <v>0</v>
      </c>
      <c r="J91" s="357">
        <f t="shared" si="143"/>
        <v>0</v>
      </c>
      <c r="K91" s="357">
        <f t="shared" ref="K91:N91" si="150">(J91*0.5%)+J91</f>
        <v>0</v>
      </c>
      <c r="L91" s="357">
        <f t="shared" si="150"/>
        <v>0</v>
      </c>
      <c r="M91" s="357">
        <f t="shared" si="150"/>
        <v>0</v>
      </c>
      <c r="N91" s="357">
        <f t="shared" si="150"/>
        <v>0</v>
      </c>
      <c r="O91" s="357">
        <f t="shared" si="95"/>
        <v>0</v>
      </c>
      <c r="P91" s="369"/>
      <c r="Q91" s="239"/>
      <c r="R91" s="239"/>
      <c r="S91" s="239"/>
      <c r="T91" s="239"/>
      <c r="U91" s="239"/>
      <c r="V91" s="239"/>
      <c r="W91" s="239"/>
      <c r="X91" s="239"/>
      <c r="Y91" s="239"/>
      <c r="Z91" s="239"/>
      <c r="AA91" s="239"/>
      <c r="AB91" s="239"/>
      <c r="AC91" s="239"/>
    </row>
    <row r="92" spans="1:29" ht="16.5" customHeight="1">
      <c r="A92" s="356" t="s">
        <v>712</v>
      </c>
      <c r="B92" s="384" t="s">
        <v>713</v>
      </c>
      <c r="C92" s="357"/>
      <c r="D92" s="357"/>
      <c r="E92" s="357"/>
      <c r="F92" s="396">
        <f t="shared" si="141"/>
        <v>0</v>
      </c>
      <c r="G92" s="357">
        <f t="shared" ref="G92:I92" si="151">(F92*0.5%)+F92</f>
        <v>0</v>
      </c>
      <c r="H92" s="357">
        <f t="shared" si="151"/>
        <v>0</v>
      </c>
      <c r="I92" s="357">
        <f t="shared" si="151"/>
        <v>0</v>
      </c>
      <c r="J92" s="357">
        <f t="shared" si="143"/>
        <v>0</v>
      </c>
      <c r="K92" s="357">
        <f t="shared" ref="K92:N92" si="152">(J92*0.5%)+J92</f>
        <v>0</v>
      </c>
      <c r="L92" s="357">
        <f t="shared" si="152"/>
        <v>0</v>
      </c>
      <c r="M92" s="357">
        <f t="shared" si="152"/>
        <v>0</v>
      </c>
      <c r="N92" s="357">
        <f t="shared" si="152"/>
        <v>0</v>
      </c>
      <c r="O92" s="357">
        <f t="shared" si="95"/>
        <v>0</v>
      </c>
      <c r="P92" s="369"/>
      <c r="Q92" s="239"/>
      <c r="R92" s="239"/>
      <c r="S92" s="239"/>
      <c r="T92" s="239"/>
      <c r="U92" s="239"/>
      <c r="V92" s="239"/>
      <c r="W92" s="239"/>
      <c r="X92" s="239"/>
      <c r="Y92" s="239"/>
      <c r="Z92" s="239"/>
      <c r="AA92" s="239"/>
      <c r="AB92" s="239"/>
      <c r="AC92" s="239"/>
    </row>
    <row r="93" spans="1:29" ht="16.5" customHeight="1">
      <c r="A93" s="356" t="s">
        <v>714</v>
      </c>
      <c r="B93" s="384" t="s">
        <v>715</v>
      </c>
      <c r="C93" s="357"/>
      <c r="D93" s="357"/>
      <c r="E93" s="357"/>
      <c r="F93" s="396">
        <f t="shared" si="141"/>
        <v>0</v>
      </c>
      <c r="G93" s="357">
        <f t="shared" ref="G93:I93" si="153">(F93*0.5%)+F93</f>
        <v>0</v>
      </c>
      <c r="H93" s="357">
        <f t="shared" si="153"/>
        <v>0</v>
      </c>
      <c r="I93" s="357">
        <f t="shared" si="153"/>
        <v>0</v>
      </c>
      <c r="J93" s="357">
        <f t="shared" si="143"/>
        <v>0</v>
      </c>
      <c r="K93" s="357">
        <f t="shared" ref="K93:N93" si="154">(J93*0.5%)+J93</f>
        <v>0</v>
      </c>
      <c r="L93" s="357">
        <f t="shared" si="154"/>
        <v>0</v>
      </c>
      <c r="M93" s="357">
        <f t="shared" si="154"/>
        <v>0</v>
      </c>
      <c r="N93" s="357">
        <f t="shared" si="154"/>
        <v>0</v>
      </c>
      <c r="O93" s="357">
        <f t="shared" si="95"/>
        <v>0</v>
      </c>
      <c r="P93" s="369"/>
      <c r="Q93" s="239"/>
      <c r="R93" s="239"/>
      <c r="S93" s="239"/>
      <c r="T93" s="239"/>
      <c r="U93" s="239"/>
      <c r="V93" s="239"/>
      <c r="W93" s="239"/>
      <c r="X93" s="239"/>
      <c r="Y93" s="239"/>
      <c r="Z93" s="239"/>
      <c r="AA93" s="239"/>
      <c r="AB93" s="239"/>
      <c r="AC93" s="239"/>
    </row>
    <row r="94" spans="1:29" ht="16.5" customHeight="1">
      <c r="A94" s="363"/>
      <c r="B94" s="384" t="s">
        <v>716</v>
      </c>
      <c r="C94" s="357"/>
      <c r="D94" s="357"/>
      <c r="E94" s="357"/>
      <c r="F94" s="396">
        <f t="shared" si="141"/>
        <v>0</v>
      </c>
      <c r="G94" s="357">
        <f t="shared" ref="G94:I94" si="155">(F94*0.5%)+F94</f>
        <v>0</v>
      </c>
      <c r="H94" s="357">
        <f t="shared" si="155"/>
        <v>0</v>
      </c>
      <c r="I94" s="357">
        <f t="shared" si="155"/>
        <v>0</v>
      </c>
      <c r="J94" s="357">
        <f t="shared" si="143"/>
        <v>0</v>
      </c>
      <c r="K94" s="357">
        <f t="shared" ref="K94:N94" si="156">(J94*0.5%)+J94</f>
        <v>0</v>
      </c>
      <c r="L94" s="357">
        <f t="shared" si="156"/>
        <v>0</v>
      </c>
      <c r="M94" s="357">
        <f t="shared" si="156"/>
        <v>0</v>
      </c>
      <c r="N94" s="357">
        <f t="shared" si="156"/>
        <v>0</v>
      </c>
      <c r="O94" s="357">
        <f t="shared" si="95"/>
        <v>0</v>
      </c>
      <c r="P94" s="369"/>
      <c r="Q94" s="239"/>
      <c r="R94" s="239"/>
      <c r="S94" s="239"/>
      <c r="T94" s="239"/>
      <c r="U94" s="239"/>
      <c r="V94" s="239"/>
      <c r="W94" s="239"/>
      <c r="X94" s="239"/>
      <c r="Y94" s="239"/>
      <c r="Z94" s="239"/>
      <c r="AA94" s="239"/>
      <c r="AB94" s="239"/>
      <c r="AC94" s="239"/>
    </row>
    <row r="95" spans="1:29" ht="15" customHeight="1">
      <c r="A95" s="359"/>
      <c r="B95" s="383" t="s">
        <v>717</v>
      </c>
      <c r="C95" s="355">
        <f>+C96+C98</f>
        <v>24364967</v>
      </c>
      <c r="D95" s="355">
        <f t="shared" ref="D95:O95" si="157">+D96+D98</f>
        <v>335587940</v>
      </c>
      <c r="E95" s="355">
        <f t="shared" si="157"/>
        <v>67800000</v>
      </c>
      <c r="F95" s="395">
        <f t="shared" si="157"/>
        <v>73339000</v>
      </c>
      <c r="G95" s="355">
        <f t="shared" si="157"/>
        <v>73705695</v>
      </c>
      <c r="H95" s="355">
        <f t="shared" si="157"/>
        <v>74074223.474999994</v>
      </c>
      <c r="I95" s="355">
        <f t="shared" si="157"/>
        <v>74444594.592374995</v>
      </c>
      <c r="J95" s="355">
        <f t="shared" si="157"/>
        <v>74816817.565336883</v>
      </c>
      <c r="K95" s="355">
        <f t="shared" si="157"/>
        <v>75190901.653163567</v>
      </c>
      <c r="L95" s="355">
        <f t="shared" si="157"/>
        <v>75566856.161429375</v>
      </c>
      <c r="M95" s="355">
        <f t="shared" si="157"/>
        <v>75944690.442236528</v>
      </c>
      <c r="N95" s="355">
        <f t="shared" si="157"/>
        <v>76164314.104447722</v>
      </c>
      <c r="O95" s="355">
        <f t="shared" si="157"/>
        <v>1100999999.993989</v>
      </c>
      <c r="P95" s="369"/>
      <c r="Q95" s="239"/>
      <c r="R95" s="239"/>
      <c r="S95" s="239"/>
      <c r="T95" s="239"/>
      <c r="U95" s="239"/>
      <c r="V95" s="239"/>
      <c r="W95" s="239"/>
      <c r="X95" s="239"/>
      <c r="Y95" s="239"/>
      <c r="Z95" s="239"/>
      <c r="AA95" s="239"/>
      <c r="AB95" s="239"/>
      <c r="AC95" s="239"/>
    </row>
    <row r="96" spans="1:29" ht="16.5" customHeight="1">
      <c r="A96" s="354" t="s">
        <v>718</v>
      </c>
      <c r="B96" s="387" t="s">
        <v>719</v>
      </c>
      <c r="C96" s="360">
        <f>+C97</f>
        <v>0</v>
      </c>
      <c r="D96" s="360">
        <f t="shared" ref="D96:O96" si="158">+D97</f>
        <v>0</v>
      </c>
      <c r="E96" s="360">
        <f t="shared" si="158"/>
        <v>19600000</v>
      </c>
      <c r="F96" s="397">
        <f t="shared" si="158"/>
        <v>19698000</v>
      </c>
      <c r="G96" s="360">
        <f t="shared" si="158"/>
        <v>19796490</v>
      </c>
      <c r="H96" s="360">
        <f t="shared" si="158"/>
        <v>19895472.449999999</v>
      </c>
      <c r="I96" s="360">
        <f t="shared" si="158"/>
        <v>19994949.812249999</v>
      </c>
      <c r="J96" s="360">
        <f t="shared" si="158"/>
        <v>20094924.561311249</v>
      </c>
      <c r="K96" s="360">
        <f t="shared" si="158"/>
        <v>20195399.184117805</v>
      </c>
      <c r="L96" s="360">
        <f t="shared" si="158"/>
        <v>20296376.180038393</v>
      </c>
      <c r="M96" s="360">
        <f t="shared" si="158"/>
        <v>20397858.060938586</v>
      </c>
      <c r="N96" s="360">
        <f t="shared" si="158"/>
        <v>20030529.751243278</v>
      </c>
      <c r="O96" s="360">
        <f t="shared" si="158"/>
        <v>199999999.99989933</v>
      </c>
      <c r="P96" s="369"/>
      <c r="Q96" s="239"/>
      <c r="R96" s="239"/>
      <c r="S96" s="239"/>
      <c r="T96" s="239"/>
      <c r="U96" s="239"/>
      <c r="V96" s="239"/>
      <c r="W96" s="239"/>
      <c r="X96" s="239"/>
      <c r="Y96" s="239"/>
      <c r="Z96" s="239"/>
      <c r="AA96" s="239"/>
      <c r="AB96" s="239"/>
      <c r="AC96" s="239"/>
    </row>
    <row r="97" spans="1:29" ht="16.5" customHeight="1">
      <c r="A97" s="356" t="s">
        <v>1266</v>
      </c>
      <c r="B97" s="384" t="s">
        <v>954</v>
      </c>
      <c r="C97" s="357"/>
      <c r="D97" s="357"/>
      <c r="E97" s="366">
        <v>19600000</v>
      </c>
      <c r="F97" s="396">
        <f t="shared" ref="F97" si="159">(E97*0.5%+E97)</f>
        <v>19698000</v>
      </c>
      <c r="G97" s="357">
        <f t="shared" ref="G97" si="160">(F97*0.5%)+F97</f>
        <v>19796490</v>
      </c>
      <c r="H97" s="357">
        <f t="shared" ref="H97" si="161">(G97*0.5%)+G97</f>
        <v>19895472.449999999</v>
      </c>
      <c r="I97" s="357">
        <f t="shared" ref="I97" si="162">(H97*0.5%)+H97</f>
        <v>19994949.812249999</v>
      </c>
      <c r="J97" s="357">
        <f t="shared" ref="J97" si="163">(I97*(0.5%)+I97)</f>
        <v>20094924.561311249</v>
      </c>
      <c r="K97" s="357">
        <f t="shared" ref="K97" si="164">(J97*0.5%)+J97</f>
        <v>20195399.184117805</v>
      </c>
      <c r="L97" s="357">
        <f t="shared" ref="L97" si="165">(K97*0.5%)+K97</f>
        <v>20296376.180038393</v>
      </c>
      <c r="M97" s="357">
        <f t="shared" ref="M97" si="166">(L97*0.5%)+L97</f>
        <v>20397858.060938586</v>
      </c>
      <c r="N97" s="357">
        <f>(M97*0.5%)+M97-469317.6</f>
        <v>20030529.751243278</v>
      </c>
      <c r="O97" s="357">
        <f t="shared" ref="O97" si="167">SUM(C97:N97)</f>
        <v>199999999.99989933</v>
      </c>
      <c r="P97" s="357">
        <v>200000000</v>
      </c>
      <c r="Q97" s="252"/>
      <c r="R97" s="252"/>
      <c r="S97" s="252"/>
      <c r="T97" s="239"/>
      <c r="U97" s="239"/>
      <c r="V97" s="239"/>
      <c r="W97" s="239"/>
      <c r="X97" s="239"/>
      <c r="Y97" s="239"/>
      <c r="Z97" s="239"/>
      <c r="AA97" s="239"/>
      <c r="AB97" s="239"/>
      <c r="AC97" s="239"/>
    </row>
    <row r="98" spans="1:29" ht="16.5" customHeight="1">
      <c r="A98" s="354" t="s">
        <v>1267</v>
      </c>
      <c r="B98" s="387" t="s">
        <v>955</v>
      </c>
      <c r="C98" s="360">
        <f>SUM(C99:C101)</f>
        <v>24364967</v>
      </c>
      <c r="D98" s="360">
        <f>SUM(D99:D101)</f>
        <v>335587940</v>
      </c>
      <c r="E98" s="360">
        <f t="shared" ref="E98:O98" si="168">SUM(E99:E101)</f>
        <v>48200000</v>
      </c>
      <c r="F98" s="397">
        <f t="shared" si="168"/>
        <v>53641000</v>
      </c>
      <c r="G98" s="360">
        <f t="shared" si="168"/>
        <v>53909205</v>
      </c>
      <c r="H98" s="360">
        <f t="shared" si="168"/>
        <v>54178751.024999999</v>
      </c>
      <c r="I98" s="360">
        <f t="shared" si="168"/>
        <v>54449644.780125</v>
      </c>
      <c r="J98" s="360">
        <f t="shared" si="168"/>
        <v>54721893.004025638</v>
      </c>
      <c r="K98" s="360">
        <f t="shared" si="168"/>
        <v>54995502.469045758</v>
      </c>
      <c r="L98" s="360">
        <f t="shared" si="168"/>
        <v>55270479.981390983</v>
      </c>
      <c r="M98" s="360">
        <f t="shared" si="168"/>
        <v>55546832.381297946</v>
      </c>
      <c r="N98" s="360">
        <f t="shared" si="168"/>
        <v>56133784.353204437</v>
      </c>
      <c r="O98" s="360">
        <f t="shared" si="168"/>
        <v>900999999.99408972</v>
      </c>
      <c r="P98" s="357"/>
      <c r="Q98" s="239"/>
      <c r="R98" s="252"/>
      <c r="S98" s="252"/>
      <c r="T98" s="239"/>
      <c r="U98" s="239"/>
      <c r="V98" s="239"/>
      <c r="W98" s="239"/>
      <c r="X98" s="239"/>
      <c r="Y98" s="239"/>
      <c r="Z98" s="239"/>
      <c r="AA98" s="239"/>
      <c r="AB98" s="239"/>
      <c r="AC98" s="239"/>
    </row>
    <row r="99" spans="1:29" ht="16.5" customHeight="1">
      <c r="A99" s="356" t="s">
        <v>1268</v>
      </c>
      <c r="B99" s="384" t="s">
        <v>720</v>
      </c>
      <c r="C99" s="361">
        <v>18975945</v>
      </c>
      <c r="D99" s="358">
        <v>310343821</v>
      </c>
      <c r="E99" s="357">
        <v>46000000</v>
      </c>
      <c r="F99" s="396">
        <f t="shared" ref="F99:F100" si="169">(E99*0.5%+E99)</f>
        <v>46230000</v>
      </c>
      <c r="G99" s="357">
        <f t="shared" ref="G99:I99" si="170">(F99*0.5%)+F99</f>
        <v>46461150</v>
      </c>
      <c r="H99" s="357">
        <f t="shared" si="170"/>
        <v>46693455.75</v>
      </c>
      <c r="I99" s="357">
        <f t="shared" si="170"/>
        <v>46926923.028750002</v>
      </c>
      <c r="J99" s="357">
        <f t="shared" ref="J99:J101" si="171">(I99*(0.5%)+I99)</f>
        <v>47161557.643893756</v>
      </c>
      <c r="K99" s="357">
        <f t="shared" ref="K99:M99" si="172">(J99*0.5%)+J99</f>
        <v>47397365.432113223</v>
      </c>
      <c r="L99" s="357">
        <f t="shared" si="172"/>
        <v>47634352.25927379</v>
      </c>
      <c r="M99" s="357">
        <f t="shared" si="172"/>
        <v>47872524.020570159</v>
      </c>
      <c r="N99" s="357">
        <f>(M99*0.5%)+M99+191019.22</f>
        <v>48302905.86067301</v>
      </c>
      <c r="O99" s="357">
        <f t="shared" ref="O99:O101" si="173">SUM(C99:N99)</f>
        <v>799999999.99527383</v>
      </c>
      <c r="P99" s="357">
        <v>800000000</v>
      </c>
      <c r="Q99" s="252"/>
      <c r="R99" s="252"/>
      <c r="S99" s="252"/>
      <c r="T99" s="239"/>
      <c r="U99" s="239"/>
      <c r="V99" s="239"/>
      <c r="W99" s="239"/>
      <c r="X99" s="239"/>
      <c r="Y99" s="239"/>
      <c r="Z99" s="239"/>
      <c r="AA99" s="239"/>
      <c r="AB99" s="239"/>
      <c r="AC99" s="239"/>
    </row>
    <row r="100" spans="1:29" ht="16.5" customHeight="1">
      <c r="A100" s="356" t="s">
        <v>1269</v>
      </c>
      <c r="B100" s="384" t="s">
        <v>956</v>
      </c>
      <c r="C100" s="361">
        <v>4078791</v>
      </c>
      <c r="D100" s="358">
        <v>22944419</v>
      </c>
      <c r="E100" s="357">
        <v>2200000</v>
      </c>
      <c r="F100" s="396">
        <f t="shared" si="169"/>
        <v>2211000</v>
      </c>
      <c r="G100" s="357">
        <f t="shared" ref="G100:I100" si="174">(F100*0.5%)+F100</f>
        <v>2222055</v>
      </c>
      <c r="H100" s="357">
        <f t="shared" si="174"/>
        <v>2233165.2749999999</v>
      </c>
      <c r="I100" s="357">
        <f t="shared" si="174"/>
        <v>2244331.1013750001</v>
      </c>
      <c r="J100" s="357">
        <f t="shared" si="171"/>
        <v>2255552.756881875</v>
      </c>
      <c r="K100" s="357">
        <f t="shared" ref="K100:M100" si="175">(J100*0.5%)+J100</f>
        <v>2266830.5206662845</v>
      </c>
      <c r="L100" s="357">
        <f t="shared" si="175"/>
        <v>2278164.673269616</v>
      </c>
      <c r="M100" s="357">
        <f t="shared" si="175"/>
        <v>2289555.4966359641</v>
      </c>
      <c r="N100" s="357">
        <f>(M100*0.5%)+M100+475131.9</f>
        <v>2776135.1741191437</v>
      </c>
      <c r="O100" s="357">
        <f t="shared" si="173"/>
        <v>49999999.997947887</v>
      </c>
      <c r="P100" s="357">
        <v>50000000</v>
      </c>
      <c r="Q100" s="252"/>
      <c r="R100" s="252"/>
      <c r="S100" s="252"/>
      <c r="T100" s="239"/>
      <c r="U100" s="239"/>
      <c r="V100" s="239"/>
      <c r="W100" s="239"/>
      <c r="X100" s="239"/>
      <c r="Y100" s="239"/>
      <c r="Z100" s="239"/>
      <c r="AA100" s="239"/>
      <c r="AB100" s="239"/>
      <c r="AC100" s="239"/>
    </row>
    <row r="101" spans="1:29" ht="16.5" customHeight="1">
      <c r="A101" s="356" t="s">
        <v>1270</v>
      </c>
      <c r="B101" s="384" t="s">
        <v>957</v>
      </c>
      <c r="C101" s="361">
        <v>1310231</v>
      </c>
      <c r="D101" s="358">
        <v>2299700</v>
      </c>
      <c r="E101" s="357"/>
      <c r="F101" s="396">
        <v>5200000</v>
      </c>
      <c r="G101" s="357">
        <f t="shared" ref="G101:I101" si="176">(F101*0.5%)+F101</f>
        <v>5226000</v>
      </c>
      <c r="H101" s="357">
        <f t="shared" si="176"/>
        <v>5252130</v>
      </c>
      <c r="I101" s="357">
        <f t="shared" si="176"/>
        <v>5278390.6500000004</v>
      </c>
      <c r="J101" s="357">
        <f t="shared" si="171"/>
        <v>5304782.6032500006</v>
      </c>
      <c r="K101" s="357">
        <f t="shared" ref="K101:M101" si="177">(J101*0.5%)+J101</f>
        <v>5331306.516266251</v>
      </c>
      <c r="L101" s="357">
        <f t="shared" si="177"/>
        <v>5357963.0488475822</v>
      </c>
      <c r="M101" s="357">
        <f t="shared" si="177"/>
        <v>5384752.8640918201</v>
      </c>
      <c r="N101" s="357">
        <f>(M101*0.5%)+M101-356933.31</f>
        <v>5054743.3184122797</v>
      </c>
      <c r="O101" s="357">
        <f t="shared" si="173"/>
        <v>51000000.000867933</v>
      </c>
      <c r="P101" s="357">
        <v>51000000</v>
      </c>
      <c r="Q101" s="252"/>
      <c r="R101" s="252"/>
      <c r="S101" s="252"/>
      <c r="T101" s="239"/>
      <c r="U101" s="239"/>
      <c r="V101" s="239"/>
      <c r="W101" s="239"/>
      <c r="X101" s="239"/>
      <c r="Y101" s="239"/>
      <c r="Z101" s="239"/>
      <c r="AA101" s="239"/>
      <c r="AB101" s="239"/>
      <c r="AC101" s="239"/>
    </row>
    <row r="102" spans="1:29" ht="16.5" customHeight="1">
      <c r="A102" s="350">
        <v>2</v>
      </c>
      <c r="B102" s="388" t="s">
        <v>721</v>
      </c>
      <c r="C102" s="408">
        <f>C103+C200+C209</f>
        <v>2355159220.9400001</v>
      </c>
      <c r="D102" s="408" cm="1">
        <f t="array" ref="D102">D103+D200+D209</f>
        <v>2311351136.2399998</v>
      </c>
      <c r="E102" s="408" cm="1">
        <f t="array" ref="E102">E103+E200+E209</f>
        <v>5134484546.5</v>
      </c>
      <c r="F102" s="398" cm="1">
        <f t="array" ref="F102">F103+F200+F209</f>
        <v>2189481720</v>
      </c>
      <c r="G102" s="351" cm="1">
        <f t="array" ref="G102">G103+G200+G209</f>
        <v>6346050128.6000004</v>
      </c>
      <c r="H102" s="351">
        <f>H103+H200+H209</f>
        <v>6377774374.243</v>
      </c>
      <c r="I102" s="351" cm="1">
        <f t="array" ref="I102">I103+I200+I209</f>
        <v>6409658246.1142159</v>
      </c>
      <c r="J102" s="351" cm="1">
        <f t="array" ref="J102">J103+J200+J209</f>
        <v>6441701537.3447866</v>
      </c>
      <c r="K102" s="351" cm="1">
        <f t="array" ref="K102">K103+K200+K209</f>
        <v>6473905045.0315084</v>
      </c>
      <c r="L102" s="351" cm="1">
        <f t="array" ref="L102">L103+L200+L209</f>
        <v>6506269570.2566681</v>
      </c>
      <c r="M102" s="351" cm="1">
        <f t="array" ref="M102">M103+M200+M209</f>
        <v>6538795918.1079521</v>
      </c>
      <c r="N102" s="351">
        <f>N103+N200+N209</f>
        <v>6657984238.5884914</v>
      </c>
      <c r="O102" s="351" cm="1">
        <f t="array" ref="O102">SUM(C102:N102)</f>
        <v>63742615681.966621</v>
      </c>
      <c r="P102" s="415">
        <f>+O102-O13</f>
        <v>3055125452.9920425</v>
      </c>
      <c r="Q102" s="252">
        <f>+P103-P102</f>
        <v>63767.007957458496</v>
      </c>
      <c r="R102" s="252"/>
      <c r="S102" s="252"/>
      <c r="T102" s="239"/>
      <c r="U102" s="239"/>
      <c r="V102" s="239"/>
      <c r="W102" s="239"/>
      <c r="X102" s="239"/>
      <c r="Y102" s="239"/>
      <c r="Z102" s="239"/>
      <c r="AA102" s="239"/>
      <c r="AB102" s="239"/>
      <c r="AC102" s="239"/>
    </row>
    <row r="103" spans="1:29" ht="16.5" customHeight="1">
      <c r="A103" s="216">
        <v>2.1</v>
      </c>
      <c r="B103" s="389" t="s">
        <v>722</v>
      </c>
      <c r="C103" s="409" cm="1">
        <f t="array" ref="C103">C104+C147</f>
        <v>490408698.94</v>
      </c>
      <c r="D103" s="409" cm="1">
        <f t="array" ref="D103">D104+D147</f>
        <v>640230368.24000001</v>
      </c>
      <c r="E103" s="409" cm="1">
        <f t="array" ref="E103">E104+E147</f>
        <v>5134484546.5</v>
      </c>
      <c r="F103" s="399" cm="1">
        <f t="array" ref="F103">F104+F147</f>
        <v>1574846720</v>
      </c>
      <c r="G103" s="218" cm="1">
        <f t="array" ref="G103">G104+G147</f>
        <v>5728341953.6000004</v>
      </c>
      <c r="H103" s="218" cm="1">
        <f t="array" ref="H103">H104+H147</f>
        <v>5756977658.368</v>
      </c>
      <c r="I103" s="218" cm="1">
        <f t="array" ref="I103">I104+I147</f>
        <v>5785757546.6598406</v>
      </c>
      <c r="J103" s="218" cm="1">
        <f t="array" ref="J103">J104+J147</f>
        <v>5814681334.3931398</v>
      </c>
      <c r="K103" s="218" cm="1">
        <f t="array" ref="K103">K104+K147</f>
        <v>5843749741.0651035</v>
      </c>
      <c r="L103" s="218" cm="1">
        <f t="array" ref="L103">L104+L147</f>
        <v>5872963489.7704306</v>
      </c>
      <c r="M103" s="218" cm="1">
        <f t="array" ref="M103">M104+M147</f>
        <v>5902323307.2192841</v>
      </c>
      <c r="N103" s="218" cm="1">
        <f t="array" ref="N103">N104+N147</f>
        <v>6017597091.43538</v>
      </c>
      <c r="O103" s="218" cm="1">
        <f t="array" ref="O103">SUM(C103:N103)</f>
        <v>54562362456.191177</v>
      </c>
      <c r="P103" s="416">
        <f>+C210+D210</f>
        <v>3055189220</v>
      </c>
      <c r="Q103" s="239">
        <v>54562362456.220001</v>
      </c>
      <c r="R103" s="252">
        <f>+O103-Q103</f>
        <v>-2.88238525390625E-2</v>
      </c>
      <c r="S103" s="239"/>
      <c r="T103" s="239"/>
      <c r="U103" s="239"/>
      <c r="V103" s="239"/>
      <c r="W103" s="239"/>
      <c r="X103" s="239"/>
      <c r="Y103" s="239"/>
      <c r="Z103" s="239"/>
      <c r="AA103" s="239"/>
      <c r="AB103" s="239"/>
      <c r="AC103" s="239"/>
    </row>
    <row r="104" spans="1:29" ht="15" customHeight="1">
      <c r="A104" s="219" t="s">
        <v>723</v>
      </c>
      <c r="B104" s="377" t="s">
        <v>724</v>
      </c>
      <c r="C104" s="417" cm="1">
        <f t="array" ref="C104">SUM(C105:C146)</f>
        <v>146119648</v>
      </c>
      <c r="D104" s="379" cm="1">
        <f t="array" ref="D104">SUM(D105:D146)</f>
        <v>153070230</v>
      </c>
      <c r="E104" s="379" cm="1">
        <f t="array" ref="E104">SUM(E105:E146)</f>
        <v>163590743</v>
      </c>
      <c r="F104" s="378" cm="1">
        <f t="array" ref="F104">SUM(F105:F146)</f>
        <v>250141610</v>
      </c>
      <c r="G104" s="220" cm="1">
        <f t="array" ref="G104">SUM(G105:G146)</f>
        <v>251387318.05000001</v>
      </c>
      <c r="H104" s="220" cm="1">
        <f t="array" ref="H104">SUM(H105:H146)</f>
        <v>252639254.64025003</v>
      </c>
      <c r="I104" s="220" cm="1">
        <f t="array" ref="I104">SUM(I105:I146)</f>
        <v>253897450.91345125</v>
      </c>
      <c r="J104" s="220" cm="1">
        <f t="array" ref="J104">SUM(J105:J146)</f>
        <v>255161938.16801852</v>
      </c>
      <c r="K104" s="220" cm="1">
        <f t="array" ref="K104">SUM(K105:K146)</f>
        <v>256432747.8588585</v>
      </c>
      <c r="L104" s="220" cm="1">
        <f t="array" ref="L104">SUM(L105:L146)</f>
        <v>257709911.59815282</v>
      </c>
      <c r="M104" s="220" cm="1">
        <f t="array" ref="M104">SUM(M105:M146)</f>
        <v>258993461.15614364</v>
      </c>
      <c r="N104" s="220" cm="1">
        <f t="array" ref="N104">SUM(N105:N146)</f>
        <v>332744142.84192443</v>
      </c>
      <c r="O104" s="221" cm="1">
        <f t="array" ref="O104">SUM(C104:N104)</f>
        <v>2831888456.226799</v>
      </c>
      <c r="P104" s="243"/>
      <c r="Q104" s="239"/>
      <c r="R104" s="239"/>
      <c r="S104" s="239"/>
      <c r="T104" s="239"/>
      <c r="U104" s="239"/>
      <c r="V104" s="239"/>
      <c r="W104" s="239"/>
      <c r="X104" s="239"/>
      <c r="Y104" s="239"/>
      <c r="Z104" s="239"/>
      <c r="AA104" s="239"/>
      <c r="AB104" s="239"/>
      <c r="AC104" s="239"/>
    </row>
    <row r="105" spans="1:29" ht="16.5" customHeight="1">
      <c r="A105" s="210" t="s">
        <v>725</v>
      </c>
      <c r="B105" s="375" t="s">
        <v>726</v>
      </c>
      <c r="C105" s="361">
        <v>101141816</v>
      </c>
      <c r="D105" s="358">
        <v>105252236</v>
      </c>
      <c r="E105" s="357">
        <v>102639872</v>
      </c>
      <c r="F105" s="396">
        <v>111500000</v>
      </c>
      <c r="G105" s="357">
        <f t="shared" ref="G105" si="178">(F105*0.5%)+F105</f>
        <v>112057500</v>
      </c>
      <c r="H105" s="357">
        <f t="shared" ref="H105" si="179">(G105*0.5%)+G105</f>
        <v>112617787.5</v>
      </c>
      <c r="I105" s="357">
        <f t="shared" ref="I105" si="180">(H105*0.5%)+H105</f>
        <v>113180876.4375</v>
      </c>
      <c r="J105" s="357">
        <f t="shared" ref="J105" si="181">(I105*(0.5%)+I105)</f>
        <v>113746780.8196875</v>
      </c>
      <c r="K105" s="357">
        <f t="shared" ref="K105" si="182">(J105*0.5%)+J105</f>
        <v>114315514.72378594</v>
      </c>
      <c r="L105" s="357">
        <f t="shared" ref="L105" si="183">(K105*0.5%)+K105</f>
        <v>114887092.29740487</v>
      </c>
      <c r="M105" s="357">
        <f t="shared" ref="M105" si="184">(L105*0.5%)+L105</f>
        <v>115461527.7588919</v>
      </c>
      <c r="N105" s="357">
        <f>(M105*0.5%)+M105+228161.07</f>
        <v>116266996.46768636</v>
      </c>
      <c r="O105" s="357">
        <f t="shared" ref="O105" si="185">SUM(C105:N105)</f>
        <v>1333068000.0049565</v>
      </c>
      <c r="P105" s="361">
        <v>1333068000</v>
      </c>
      <c r="Q105" s="252"/>
      <c r="R105" s="252"/>
      <c r="S105" s="252"/>
      <c r="T105" s="239"/>
      <c r="U105" s="239"/>
      <c r="V105" s="239"/>
      <c r="W105" s="239"/>
      <c r="X105" s="239"/>
      <c r="Y105" s="239"/>
      <c r="Z105" s="239"/>
      <c r="AA105" s="239"/>
      <c r="AB105" s="239"/>
      <c r="AC105" s="239"/>
    </row>
    <row r="106" spans="1:29" ht="16.5" customHeight="1">
      <c r="A106" s="210" t="s">
        <v>727</v>
      </c>
      <c r="B106" s="375" t="s">
        <v>728</v>
      </c>
      <c r="C106" s="361">
        <v>10184433</v>
      </c>
      <c r="D106" s="358">
        <v>14176000</v>
      </c>
      <c r="E106" s="357">
        <v>13125400</v>
      </c>
      <c r="F106" s="376">
        <v>15860000</v>
      </c>
      <c r="G106" s="357">
        <f t="shared" ref="G106:G146" si="186">(F106*0.5%)+F106</f>
        <v>15939300</v>
      </c>
      <c r="H106" s="357">
        <f t="shared" ref="H106:H146" si="187">(G106*0.5%)+G106</f>
        <v>16018996.5</v>
      </c>
      <c r="I106" s="357">
        <f t="shared" ref="I106:I146" si="188">(H106*0.5%)+H106</f>
        <v>16099091.4825</v>
      </c>
      <c r="J106" s="357">
        <f t="shared" ref="J106:J146" si="189">(I106*(0.5%)+I106)</f>
        <v>16179586.9399125</v>
      </c>
      <c r="K106" s="357">
        <f t="shared" ref="K106:K146" si="190">(J106*0.5%)+J106</f>
        <v>16260484.874612063</v>
      </c>
      <c r="L106" s="357">
        <f t="shared" ref="L106:L146" si="191">(K106*0.5%)+K106</f>
        <v>16341787.298985124</v>
      </c>
      <c r="M106" s="357">
        <f t="shared" ref="M106:M146" si="192">(L106*0.5%)+L106</f>
        <v>16423496.23548005</v>
      </c>
      <c r="N106" s="357">
        <f>(M106*0.5%)+M106-150190.05</f>
        <v>16355423.66665745</v>
      </c>
      <c r="O106" s="357">
        <f t="shared" ref="O106:O146" si="193">SUM(C106:N106)</f>
        <v>182963999.99814716</v>
      </c>
      <c r="P106" s="361">
        <v>182964000</v>
      </c>
      <c r="Q106" s="252"/>
      <c r="R106" s="252"/>
      <c r="S106" s="252"/>
      <c r="T106" s="239"/>
      <c r="U106" s="239"/>
      <c r="V106" s="239"/>
      <c r="W106" s="239"/>
      <c r="X106" s="239"/>
      <c r="Y106" s="239"/>
      <c r="Z106" s="239"/>
      <c r="AA106" s="239"/>
      <c r="AB106" s="239"/>
      <c r="AC106" s="239"/>
    </row>
    <row r="107" spans="1:29" ht="16.5" customHeight="1">
      <c r="A107" s="210" t="s">
        <v>729</v>
      </c>
      <c r="B107" s="375" t="s">
        <v>730</v>
      </c>
      <c r="C107" s="361">
        <v>0</v>
      </c>
      <c r="D107" s="358">
        <v>0</v>
      </c>
      <c r="E107" s="357">
        <v>0</v>
      </c>
      <c r="F107" s="376">
        <v>1990000</v>
      </c>
      <c r="G107" s="357">
        <f t="shared" si="186"/>
        <v>1999950</v>
      </c>
      <c r="H107" s="357">
        <f t="shared" si="187"/>
        <v>2009949.75</v>
      </c>
      <c r="I107" s="357">
        <f t="shared" si="188"/>
        <v>2019999.49875</v>
      </c>
      <c r="J107" s="357">
        <f t="shared" si="189"/>
        <v>2030099.49624375</v>
      </c>
      <c r="K107" s="357">
        <f t="shared" si="190"/>
        <v>2040249.9937249688</v>
      </c>
      <c r="L107" s="357">
        <f t="shared" si="191"/>
        <v>2050451.2436935937</v>
      </c>
      <c r="M107" s="357">
        <f t="shared" si="192"/>
        <v>2060703.4999120617</v>
      </c>
      <c r="N107" s="357">
        <f>(M107*0.5%)+M107+695269.5</f>
        <v>2766276.5174116222</v>
      </c>
      <c r="O107" s="357">
        <f t="shared" si="193"/>
        <v>18967679.999735996</v>
      </c>
      <c r="P107" s="361">
        <v>18967680</v>
      </c>
      <c r="Q107" s="252"/>
      <c r="R107" s="252"/>
      <c r="S107" s="252"/>
      <c r="T107" s="239"/>
      <c r="U107" s="239"/>
      <c r="V107" s="239"/>
      <c r="W107" s="239"/>
      <c r="X107" s="239"/>
      <c r="Y107" s="239"/>
      <c r="Z107" s="239"/>
      <c r="AA107" s="239"/>
      <c r="AB107" s="239"/>
      <c r="AC107" s="239"/>
    </row>
    <row r="108" spans="1:29" ht="16.5" customHeight="1">
      <c r="A108" s="210" t="s">
        <v>731</v>
      </c>
      <c r="B108" s="375" t="s">
        <v>732</v>
      </c>
      <c r="C108" s="361">
        <v>7179961</v>
      </c>
      <c r="D108" s="358">
        <v>2474309</v>
      </c>
      <c r="E108" s="357">
        <v>5368430</v>
      </c>
      <c r="F108" s="376">
        <v>5550000</v>
      </c>
      <c r="G108" s="357">
        <f t="shared" si="186"/>
        <v>5577750</v>
      </c>
      <c r="H108" s="357">
        <f t="shared" si="187"/>
        <v>5605638.75</v>
      </c>
      <c r="I108" s="357">
        <f t="shared" si="188"/>
        <v>5633666.9437499996</v>
      </c>
      <c r="J108" s="357">
        <f t="shared" si="189"/>
        <v>5661835.2784687495</v>
      </c>
      <c r="K108" s="357">
        <f t="shared" si="190"/>
        <v>5690144.4548610933</v>
      </c>
      <c r="L108" s="357">
        <f t="shared" si="191"/>
        <v>5718595.1771353986</v>
      </c>
      <c r="M108" s="357">
        <f t="shared" si="192"/>
        <v>5747188.1530210758</v>
      </c>
      <c r="N108" s="357">
        <f>(M108*0.5%)+M108+16557.15</f>
        <v>5792481.2437861813</v>
      </c>
      <c r="O108" s="357">
        <f t="shared" si="193"/>
        <v>66000000.001022495</v>
      </c>
      <c r="P108" s="361">
        <v>66000000</v>
      </c>
      <c r="Q108" s="252"/>
      <c r="R108" s="252"/>
      <c r="S108" s="252"/>
      <c r="T108" s="239"/>
      <c r="U108" s="239"/>
      <c r="V108" s="239"/>
      <c r="W108" s="239"/>
      <c r="X108" s="239"/>
      <c r="Y108" s="239"/>
      <c r="Z108" s="239"/>
      <c r="AA108" s="239"/>
      <c r="AB108" s="239"/>
      <c r="AC108" s="239"/>
    </row>
    <row r="109" spans="1:29" ht="16.5" customHeight="1">
      <c r="A109" s="210" t="s">
        <v>733</v>
      </c>
      <c r="B109" s="375" t="s">
        <v>734</v>
      </c>
      <c r="C109" s="361">
        <v>6308696</v>
      </c>
      <c r="D109" s="358">
        <v>4179231</v>
      </c>
      <c r="E109" s="357">
        <v>4519406</v>
      </c>
      <c r="F109" s="376">
        <v>2300000</v>
      </c>
      <c r="G109" s="357">
        <f t="shared" si="186"/>
        <v>2311500</v>
      </c>
      <c r="H109" s="357">
        <f t="shared" si="187"/>
        <v>2323057.5</v>
      </c>
      <c r="I109" s="357">
        <f t="shared" si="188"/>
        <v>2334672.7875000001</v>
      </c>
      <c r="J109" s="357">
        <f t="shared" si="189"/>
        <v>2346346.1514375</v>
      </c>
      <c r="K109" s="357">
        <f t="shared" si="190"/>
        <v>2358077.8821946876</v>
      </c>
      <c r="L109" s="357">
        <f t="shared" si="191"/>
        <v>2369868.2716056611</v>
      </c>
      <c r="M109" s="357">
        <f t="shared" si="192"/>
        <v>2381717.6129636895</v>
      </c>
      <c r="N109" s="357">
        <f>(M109*0.5%)+M109-126199.41</f>
        <v>2267426.791028508</v>
      </c>
      <c r="O109" s="357">
        <f t="shared" si="193"/>
        <v>35999999.996730044</v>
      </c>
      <c r="P109" s="361">
        <v>36000000</v>
      </c>
      <c r="Q109" s="252"/>
      <c r="R109" s="252"/>
      <c r="S109" s="252"/>
      <c r="T109" s="239"/>
      <c r="U109" s="239"/>
      <c r="V109" s="239"/>
      <c r="W109" s="239"/>
      <c r="X109" s="239"/>
      <c r="Y109" s="239"/>
      <c r="Z109" s="239"/>
      <c r="AA109" s="239"/>
      <c r="AB109" s="239"/>
      <c r="AC109" s="239"/>
    </row>
    <row r="110" spans="1:29" ht="16.5" customHeight="1">
      <c r="A110" s="210" t="s">
        <v>735</v>
      </c>
      <c r="B110" s="375" t="s">
        <v>736</v>
      </c>
      <c r="C110" s="361">
        <v>1000000</v>
      </c>
      <c r="D110" s="358">
        <v>1000000</v>
      </c>
      <c r="E110" s="357">
        <v>1000000</v>
      </c>
      <c r="F110" s="396">
        <v>1000000</v>
      </c>
      <c r="G110" s="357">
        <v>1000000</v>
      </c>
      <c r="H110" s="357">
        <v>1000000</v>
      </c>
      <c r="I110" s="357">
        <v>1000000</v>
      </c>
      <c r="J110" s="357">
        <v>1000000</v>
      </c>
      <c r="K110" s="357">
        <v>1000000</v>
      </c>
      <c r="L110" s="357">
        <v>1000000</v>
      </c>
      <c r="M110" s="357">
        <v>1000000</v>
      </c>
      <c r="N110" s="357">
        <v>1000000</v>
      </c>
      <c r="O110" s="357">
        <f t="shared" si="193"/>
        <v>12000000</v>
      </c>
      <c r="P110" s="361">
        <v>12000000</v>
      </c>
      <c r="Q110" s="252"/>
      <c r="R110" s="252"/>
      <c r="S110" s="252"/>
      <c r="T110" s="239"/>
      <c r="U110" s="239"/>
      <c r="V110" s="239"/>
      <c r="W110" s="239"/>
      <c r="X110" s="239"/>
      <c r="Y110" s="239"/>
      <c r="Z110" s="239"/>
      <c r="AA110" s="239"/>
      <c r="AB110" s="239"/>
      <c r="AC110" s="239"/>
    </row>
    <row r="111" spans="1:29" ht="16.5" customHeight="1">
      <c r="A111" s="210" t="s">
        <v>737</v>
      </c>
      <c r="B111" s="375" t="s">
        <v>738</v>
      </c>
      <c r="C111" s="361">
        <v>4863800</v>
      </c>
      <c r="D111" s="358">
        <v>5229000</v>
      </c>
      <c r="E111" s="357">
        <v>4930200</v>
      </c>
      <c r="F111" s="376">
        <v>7000000</v>
      </c>
      <c r="G111" s="357">
        <f t="shared" si="186"/>
        <v>7035000</v>
      </c>
      <c r="H111" s="357">
        <f t="shared" si="187"/>
        <v>7070175</v>
      </c>
      <c r="I111" s="357">
        <f t="shared" si="188"/>
        <v>7105525.875</v>
      </c>
      <c r="J111" s="357">
        <f t="shared" si="189"/>
        <v>7141053.5043749996</v>
      </c>
      <c r="K111" s="357">
        <f t="shared" si="190"/>
        <v>7176758.7718968745</v>
      </c>
      <c r="L111" s="357">
        <f t="shared" si="191"/>
        <v>7212642.5657563591</v>
      </c>
      <c r="M111" s="357">
        <f t="shared" si="192"/>
        <v>7248705.7785851406</v>
      </c>
      <c r="N111" s="357">
        <f>(M111*0.5%)+M111-97810.8</f>
        <v>7187138.5074780667</v>
      </c>
      <c r="O111" s="357">
        <f t="shared" si="193"/>
        <v>79200000.00309144</v>
      </c>
      <c r="P111" s="361">
        <v>79200000</v>
      </c>
      <c r="Q111" s="252"/>
      <c r="R111" s="252"/>
      <c r="S111" s="252"/>
      <c r="T111" s="239"/>
      <c r="U111" s="239"/>
      <c r="V111" s="239"/>
      <c r="W111" s="239"/>
      <c r="X111" s="239"/>
      <c r="Y111" s="239"/>
      <c r="Z111" s="239"/>
      <c r="AA111" s="239"/>
      <c r="AB111" s="239"/>
      <c r="AC111" s="239"/>
    </row>
    <row r="112" spans="1:29" ht="16.5" customHeight="1">
      <c r="A112" s="210" t="s">
        <v>739</v>
      </c>
      <c r="B112" s="375" t="s">
        <v>740</v>
      </c>
      <c r="C112" s="361">
        <v>747000</v>
      </c>
      <c r="D112" s="358">
        <v>747000</v>
      </c>
      <c r="E112" s="357">
        <v>597600</v>
      </c>
      <c r="F112" s="376">
        <v>642000</v>
      </c>
      <c r="G112" s="357">
        <f t="shared" si="186"/>
        <v>645210</v>
      </c>
      <c r="H112" s="357">
        <f t="shared" si="187"/>
        <v>648436.05000000005</v>
      </c>
      <c r="I112" s="357">
        <f t="shared" si="188"/>
        <v>651678.23025000002</v>
      </c>
      <c r="J112" s="357">
        <f t="shared" si="189"/>
        <v>654936.62140125001</v>
      </c>
      <c r="K112" s="357">
        <f t="shared" si="190"/>
        <v>658211.30450825626</v>
      </c>
      <c r="L112" s="357">
        <f t="shared" si="191"/>
        <v>661502.36103079759</v>
      </c>
      <c r="M112" s="357">
        <f t="shared" si="192"/>
        <v>664809.87283595162</v>
      </c>
      <c r="N112" s="357">
        <f>(M112*0.5%)+M112-66518.36</f>
        <v>601615.56220013136</v>
      </c>
      <c r="O112" s="357">
        <f t="shared" si="193"/>
        <v>7920000.0022263862</v>
      </c>
      <c r="P112" s="361">
        <v>7920000</v>
      </c>
      <c r="Q112" s="252"/>
      <c r="R112" s="252"/>
      <c r="S112" s="252"/>
      <c r="T112" s="239"/>
      <c r="U112" s="239"/>
      <c r="V112" s="239"/>
      <c r="W112" s="239"/>
      <c r="X112" s="239"/>
      <c r="Y112" s="239"/>
      <c r="Z112" s="239"/>
      <c r="AA112" s="239"/>
      <c r="AB112" s="239"/>
      <c r="AC112" s="239"/>
    </row>
    <row r="113" spans="1:29" ht="16.5" customHeight="1">
      <c r="A113" s="210" t="s">
        <v>741</v>
      </c>
      <c r="B113" s="375" t="s">
        <v>742</v>
      </c>
      <c r="C113" s="361">
        <v>0</v>
      </c>
      <c r="D113" s="358">
        <v>0</v>
      </c>
      <c r="E113" s="357"/>
      <c r="F113" s="376">
        <v>285000</v>
      </c>
      <c r="G113" s="357">
        <f t="shared" si="186"/>
        <v>286425</v>
      </c>
      <c r="H113" s="357">
        <f t="shared" si="187"/>
        <v>287857.125</v>
      </c>
      <c r="I113" s="357">
        <f t="shared" si="188"/>
        <v>289296.41062500002</v>
      </c>
      <c r="J113" s="357">
        <f t="shared" si="189"/>
        <v>290742.892678125</v>
      </c>
      <c r="K113" s="357">
        <f t="shared" si="190"/>
        <v>292196.60714151565</v>
      </c>
      <c r="L113" s="357">
        <f t="shared" si="191"/>
        <v>293657.5901772232</v>
      </c>
      <c r="M113" s="357">
        <f t="shared" si="192"/>
        <v>295125.87812810933</v>
      </c>
      <c r="N113" s="357">
        <f>(M113*0.5%)+M113+23096.99</f>
        <v>319698.49751874985</v>
      </c>
      <c r="O113" s="357">
        <f t="shared" si="193"/>
        <v>2640000.0012687235</v>
      </c>
      <c r="P113" s="361">
        <v>2640000</v>
      </c>
      <c r="Q113" s="252"/>
      <c r="R113" s="252"/>
      <c r="S113" s="252"/>
      <c r="T113" s="239"/>
      <c r="U113" s="239"/>
      <c r="V113" s="239"/>
      <c r="W113" s="239"/>
      <c r="X113" s="239"/>
      <c r="Y113" s="239"/>
      <c r="Z113" s="239"/>
      <c r="AA113" s="239"/>
      <c r="AB113" s="239"/>
      <c r="AC113" s="239"/>
    </row>
    <row r="114" spans="1:29" ht="16.5" customHeight="1">
      <c r="A114" s="210" t="s">
        <v>743</v>
      </c>
      <c r="B114" s="375" t="s">
        <v>744</v>
      </c>
      <c r="C114" s="357"/>
      <c r="D114" s="357"/>
      <c r="E114" s="357"/>
      <c r="F114" s="376">
        <v>11900000</v>
      </c>
      <c r="G114" s="357">
        <f t="shared" si="186"/>
        <v>11959500</v>
      </c>
      <c r="H114" s="357">
        <f t="shared" si="187"/>
        <v>12019297.5</v>
      </c>
      <c r="I114" s="357">
        <f t="shared" si="188"/>
        <v>12079393.987500001</v>
      </c>
      <c r="J114" s="357">
        <f t="shared" si="189"/>
        <v>12139790.9574375</v>
      </c>
      <c r="K114" s="357">
        <f t="shared" si="190"/>
        <v>12200489.912224688</v>
      </c>
      <c r="L114" s="357">
        <f t="shared" si="191"/>
        <v>12261492.36178581</v>
      </c>
      <c r="M114" s="357">
        <f t="shared" si="192"/>
        <v>12322799.82359474</v>
      </c>
      <c r="N114" s="357">
        <f>(M114*0.5%)+M114+392181.63</f>
        <v>12776595.452712715</v>
      </c>
      <c r="O114" s="357">
        <f t="shared" si="193"/>
        <v>109659359.99525544</v>
      </c>
      <c r="P114" s="361">
        <v>109659360</v>
      </c>
      <c r="Q114" s="252"/>
      <c r="R114" s="252"/>
      <c r="S114" s="252"/>
      <c r="T114" s="239"/>
      <c r="U114" s="239"/>
      <c r="V114" s="239"/>
      <c r="W114" s="239"/>
      <c r="X114" s="239"/>
      <c r="Y114" s="239"/>
      <c r="Z114" s="239"/>
      <c r="AA114" s="239"/>
      <c r="AB114" s="239"/>
      <c r="AC114" s="239"/>
    </row>
    <row r="115" spans="1:29" ht="16.5" customHeight="1">
      <c r="A115" s="210" t="s">
        <v>745</v>
      </c>
      <c r="B115" s="375" t="s">
        <v>746</v>
      </c>
      <c r="C115" s="357"/>
      <c r="D115" s="357"/>
      <c r="E115" s="357"/>
      <c r="F115" s="376">
        <v>1680000</v>
      </c>
      <c r="G115" s="357">
        <f t="shared" si="186"/>
        <v>1688400</v>
      </c>
      <c r="H115" s="357">
        <f t="shared" si="187"/>
        <v>1696842</v>
      </c>
      <c r="I115" s="357">
        <f t="shared" si="188"/>
        <v>1705326.21</v>
      </c>
      <c r="J115" s="357">
        <f t="shared" si="189"/>
        <v>1713852.8410499999</v>
      </c>
      <c r="K115" s="357">
        <f t="shared" si="190"/>
        <v>1722422.1052552499</v>
      </c>
      <c r="L115" s="357">
        <f t="shared" si="191"/>
        <v>1731034.2157815262</v>
      </c>
      <c r="M115" s="357">
        <f t="shared" si="192"/>
        <v>1739689.3868604337</v>
      </c>
      <c r="N115" s="357">
        <f>(M115*0.5%)+M115-178954.59</f>
        <v>1569433.2437947358</v>
      </c>
      <c r="O115" s="357">
        <f t="shared" si="193"/>
        <v>15247000.002741946</v>
      </c>
      <c r="P115" s="361">
        <v>15247000</v>
      </c>
      <c r="Q115" s="252"/>
      <c r="R115" s="252"/>
      <c r="S115" s="252"/>
      <c r="T115" s="239"/>
      <c r="U115" s="239"/>
      <c r="V115" s="239"/>
      <c r="W115" s="239"/>
      <c r="X115" s="239"/>
      <c r="Y115" s="239"/>
      <c r="Z115" s="239"/>
      <c r="AA115" s="239"/>
      <c r="AB115" s="239"/>
      <c r="AC115" s="239"/>
    </row>
    <row r="116" spans="1:29" ht="16.5" customHeight="1">
      <c r="A116" s="210" t="s">
        <v>747</v>
      </c>
      <c r="B116" s="375" t="s">
        <v>748</v>
      </c>
      <c r="C116" s="357"/>
      <c r="D116" s="357"/>
      <c r="E116" s="357"/>
      <c r="F116" s="376">
        <v>200000</v>
      </c>
      <c r="G116" s="357">
        <f t="shared" si="186"/>
        <v>201000</v>
      </c>
      <c r="H116" s="357">
        <f t="shared" si="187"/>
        <v>202005</v>
      </c>
      <c r="I116" s="357">
        <f t="shared" si="188"/>
        <v>203015.02499999999</v>
      </c>
      <c r="J116" s="357">
        <f t="shared" si="189"/>
        <v>204030.100125</v>
      </c>
      <c r="K116" s="357">
        <f t="shared" si="190"/>
        <v>205050.25062562499</v>
      </c>
      <c r="L116" s="357">
        <f t="shared" si="191"/>
        <v>206075.50187875313</v>
      </c>
      <c r="M116" s="357">
        <f t="shared" si="192"/>
        <v>207105.87938814689</v>
      </c>
      <c r="N116" s="357">
        <f>(M116*0.5%)+M116+60776.83</f>
        <v>268918.2387850876</v>
      </c>
      <c r="O116" s="357">
        <f t="shared" si="193"/>
        <v>1897199.9958026125</v>
      </c>
      <c r="P116" s="361">
        <v>1897200</v>
      </c>
      <c r="Q116" s="252"/>
      <c r="R116" s="252"/>
      <c r="S116" s="252"/>
      <c r="T116" s="239"/>
      <c r="U116" s="239"/>
      <c r="V116" s="239"/>
      <c r="W116" s="239"/>
      <c r="X116" s="239"/>
      <c r="Y116" s="239"/>
      <c r="Z116" s="239"/>
      <c r="AA116" s="239"/>
      <c r="AB116" s="239"/>
      <c r="AC116" s="239"/>
    </row>
    <row r="117" spans="1:29" ht="16.5" customHeight="1">
      <c r="A117" s="210" t="s">
        <v>749</v>
      </c>
      <c r="B117" s="375" t="s">
        <v>750</v>
      </c>
      <c r="C117" s="357"/>
      <c r="D117" s="357"/>
      <c r="E117" s="357"/>
      <c r="F117" s="376">
        <v>6200000</v>
      </c>
      <c r="G117" s="357">
        <f t="shared" si="186"/>
        <v>6231000</v>
      </c>
      <c r="H117" s="357">
        <f t="shared" si="187"/>
        <v>6262155</v>
      </c>
      <c r="I117" s="357">
        <f t="shared" si="188"/>
        <v>6293465.7750000004</v>
      </c>
      <c r="J117" s="357">
        <f t="shared" si="189"/>
        <v>6324933.103875</v>
      </c>
      <c r="K117" s="357">
        <f t="shared" si="190"/>
        <v>6356557.7693943754</v>
      </c>
      <c r="L117" s="357">
        <f t="shared" si="191"/>
        <v>6388340.5582413469</v>
      </c>
      <c r="M117" s="357">
        <f t="shared" si="192"/>
        <v>6420282.2610325534</v>
      </c>
      <c r="N117" s="357">
        <f>(M117*0.5%)+M117+213953.43</f>
        <v>6666337.1023377161</v>
      </c>
      <c r="O117" s="357">
        <f t="shared" si="193"/>
        <v>57143071.569880985</v>
      </c>
      <c r="P117" s="361">
        <v>57143071.57</v>
      </c>
      <c r="Q117" s="252"/>
      <c r="R117" s="252"/>
      <c r="S117" s="252"/>
      <c r="T117" s="239"/>
      <c r="U117" s="239"/>
      <c r="V117" s="239"/>
      <c r="W117" s="239"/>
      <c r="X117" s="239"/>
      <c r="Y117" s="239"/>
      <c r="Z117" s="239"/>
      <c r="AA117" s="239"/>
      <c r="AB117" s="239"/>
      <c r="AC117" s="239"/>
    </row>
    <row r="118" spans="1:29" ht="16.5" customHeight="1">
      <c r="A118" s="210" t="s">
        <v>751</v>
      </c>
      <c r="B118" s="375" t="s">
        <v>752</v>
      </c>
      <c r="C118" s="357"/>
      <c r="D118" s="357"/>
      <c r="E118" s="357"/>
      <c r="F118" s="376">
        <v>890000</v>
      </c>
      <c r="G118" s="357">
        <f t="shared" si="186"/>
        <v>894450</v>
      </c>
      <c r="H118" s="357">
        <f t="shared" si="187"/>
        <v>898922.25</v>
      </c>
      <c r="I118" s="357">
        <f t="shared" si="188"/>
        <v>903416.86124999996</v>
      </c>
      <c r="J118" s="357">
        <f t="shared" si="189"/>
        <v>907933.94555624994</v>
      </c>
      <c r="K118" s="357">
        <f t="shared" si="190"/>
        <v>912473.61528403114</v>
      </c>
      <c r="L118" s="357">
        <f t="shared" si="191"/>
        <v>917035.9833604513</v>
      </c>
      <c r="M118" s="357">
        <f t="shared" si="192"/>
        <v>921621.16327725351</v>
      </c>
      <c r="N118" s="357">
        <f>(M118*0.5%)+M118-18607.15</f>
        <v>907622.11909363978</v>
      </c>
      <c r="O118" s="357">
        <f t="shared" si="193"/>
        <v>8153475.9378216257</v>
      </c>
      <c r="P118" s="361">
        <v>8153475.9400000004</v>
      </c>
      <c r="Q118" s="252"/>
      <c r="R118" s="252"/>
      <c r="S118" s="252"/>
      <c r="T118" s="239"/>
      <c r="U118" s="239"/>
      <c r="V118" s="239"/>
      <c r="W118" s="239"/>
      <c r="X118" s="239"/>
      <c r="Y118" s="239"/>
      <c r="Z118" s="239"/>
      <c r="AA118" s="239"/>
      <c r="AB118" s="239"/>
      <c r="AC118" s="239"/>
    </row>
    <row r="119" spans="1:29" ht="16.5" customHeight="1">
      <c r="A119" s="210" t="s">
        <v>753</v>
      </c>
      <c r="B119" s="375" t="s">
        <v>754</v>
      </c>
      <c r="C119" s="357"/>
      <c r="D119" s="357"/>
      <c r="E119" s="357"/>
      <c r="F119" s="376">
        <v>110000</v>
      </c>
      <c r="G119" s="357">
        <f t="shared" si="186"/>
        <v>110550</v>
      </c>
      <c r="H119" s="357">
        <f t="shared" si="187"/>
        <v>111102.75</v>
      </c>
      <c r="I119" s="357">
        <f t="shared" si="188"/>
        <v>111658.26375</v>
      </c>
      <c r="J119" s="357">
        <f t="shared" si="189"/>
        <v>112216.55506874999</v>
      </c>
      <c r="K119" s="357">
        <f t="shared" si="190"/>
        <v>112777.63784409374</v>
      </c>
      <c r="L119" s="357">
        <f t="shared" si="191"/>
        <v>113341.52603331421</v>
      </c>
      <c r="M119" s="357">
        <f t="shared" si="192"/>
        <v>113908.23366348077</v>
      </c>
      <c r="N119" s="357">
        <f>(M119*0.5%)+M119-21907.74</f>
        <v>92570.03483179817</v>
      </c>
      <c r="O119" s="357">
        <f t="shared" si="193"/>
        <v>988125.00119143678</v>
      </c>
      <c r="P119" s="361">
        <v>988125</v>
      </c>
      <c r="Q119" s="252"/>
      <c r="R119" s="252"/>
      <c r="S119" s="252"/>
      <c r="T119" s="239"/>
      <c r="U119" s="239"/>
      <c r="V119" s="239"/>
      <c r="W119" s="239"/>
      <c r="X119" s="239"/>
      <c r="Y119" s="239"/>
      <c r="Z119" s="239"/>
      <c r="AA119" s="239"/>
      <c r="AB119" s="239"/>
      <c r="AC119" s="239"/>
    </row>
    <row r="120" spans="1:29" ht="16.5" customHeight="1">
      <c r="A120" s="210" t="s">
        <v>755</v>
      </c>
      <c r="B120" s="375" t="s">
        <v>756</v>
      </c>
      <c r="C120" s="357"/>
      <c r="D120" s="357"/>
      <c r="E120" s="357"/>
      <c r="F120" s="376">
        <v>7700000</v>
      </c>
      <c r="G120" s="357">
        <f t="shared" si="186"/>
        <v>7738500</v>
      </c>
      <c r="H120" s="357">
        <f t="shared" si="187"/>
        <v>7777192.5</v>
      </c>
      <c r="I120" s="357">
        <f t="shared" si="188"/>
        <v>7816078.4625000004</v>
      </c>
      <c r="J120" s="357">
        <f t="shared" si="189"/>
        <v>7855158.8548125001</v>
      </c>
      <c r="K120" s="357">
        <f t="shared" si="190"/>
        <v>7894434.6490865629</v>
      </c>
      <c r="L120" s="357">
        <f t="shared" si="191"/>
        <v>7933906.8223319957</v>
      </c>
      <c r="M120" s="357">
        <f t="shared" si="192"/>
        <v>7973576.3564436557</v>
      </c>
      <c r="N120" s="357">
        <f>(M120*0.5%)+M120+116636.12</f>
        <v>8130080.3582258737</v>
      </c>
      <c r="O120" s="357">
        <f t="shared" si="193"/>
        <v>70818928.003400594</v>
      </c>
      <c r="P120" s="361">
        <v>70818928</v>
      </c>
      <c r="Q120" s="252"/>
      <c r="R120" s="252"/>
      <c r="S120" s="252"/>
      <c r="T120" s="239"/>
      <c r="U120" s="239"/>
      <c r="V120" s="239"/>
      <c r="W120" s="239"/>
      <c r="X120" s="239"/>
      <c r="Y120" s="239"/>
      <c r="Z120" s="239"/>
      <c r="AA120" s="239"/>
      <c r="AB120" s="239"/>
      <c r="AC120" s="239"/>
    </row>
    <row r="121" spans="1:29" ht="16.5" customHeight="1">
      <c r="A121" s="210" t="s">
        <v>757</v>
      </c>
      <c r="B121" s="375" t="s">
        <v>758</v>
      </c>
      <c r="C121" s="357"/>
      <c r="D121" s="357"/>
      <c r="E121" s="357"/>
      <c r="F121" s="376">
        <v>890000</v>
      </c>
      <c r="G121" s="357">
        <f t="shared" si="186"/>
        <v>894450</v>
      </c>
      <c r="H121" s="357">
        <f t="shared" si="187"/>
        <v>898922.25</v>
      </c>
      <c r="I121" s="357">
        <f t="shared" si="188"/>
        <v>903416.86124999996</v>
      </c>
      <c r="J121" s="357">
        <f t="shared" si="189"/>
        <v>907933.94555624994</v>
      </c>
      <c r="K121" s="357">
        <f t="shared" si="190"/>
        <v>912473.61528403114</v>
      </c>
      <c r="L121" s="357">
        <f t="shared" si="191"/>
        <v>917035.9833604513</v>
      </c>
      <c r="M121" s="357">
        <f t="shared" si="192"/>
        <v>921621.16327725351</v>
      </c>
      <c r="N121" s="357">
        <f>(M121*0.5%)+M121-40349.76</f>
        <v>885879.50909363979</v>
      </c>
      <c r="O121" s="357">
        <f t="shared" si="193"/>
        <v>8131733.3278216254</v>
      </c>
      <c r="P121" s="361">
        <v>8131733.3300000001</v>
      </c>
      <c r="Q121" s="252"/>
      <c r="R121" s="252"/>
      <c r="S121" s="252"/>
      <c r="T121" s="239"/>
      <c r="U121" s="239"/>
      <c r="V121" s="239"/>
      <c r="W121" s="239"/>
      <c r="X121" s="239"/>
      <c r="Y121" s="239"/>
      <c r="Z121" s="239"/>
      <c r="AA121" s="239"/>
      <c r="AB121" s="239"/>
      <c r="AC121" s="239"/>
    </row>
    <row r="122" spans="1:29" ht="16.5" customHeight="1">
      <c r="A122" s="210" t="s">
        <v>759</v>
      </c>
      <c r="B122" s="375" t="s">
        <v>760</v>
      </c>
      <c r="C122" s="357"/>
      <c r="D122" s="357"/>
      <c r="E122" s="357"/>
      <c r="F122" s="376">
        <v>100000</v>
      </c>
      <c r="G122" s="357">
        <f t="shared" si="186"/>
        <v>100500</v>
      </c>
      <c r="H122" s="357">
        <f t="shared" si="187"/>
        <v>101002.5</v>
      </c>
      <c r="I122" s="357">
        <f t="shared" si="188"/>
        <v>101507.5125</v>
      </c>
      <c r="J122" s="357">
        <f t="shared" si="189"/>
        <v>102015.0500625</v>
      </c>
      <c r="K122" s="357">
        <f t="shared" si="190"/>
        <v>102525.1253128125</v>
      </c>
      <c r="L122" s="357">
        <f t="shared" si="191"/>
        <v>103037.75093937656</v>
      </c>
      <c r="M122" s="357">
        <f t="shared" si="192"/>
        <v>103552.93969407344</v>
      </c>
      <c r="N122" s="357">
        <f>(M122*0.5%)+M122-22311.58</f>
        <v>81759.124392543803</v>
      </c>
      <c r="O122" s="357">
        <f t="shared" si="193"/>
        <v>895900.00290130626</v>
      </c>
      <c r="P122" s="361">
        <v>895900</v>
      </c>
      <c r="Q122" s="252"/>
      <c r="R122" s="252"/>
      <c r="S122" s="252"/>
      <c r="T122" s="239"/>
      <c r="U122" s="239"/>
      <c r="V122" s="239"/>
      <c r="W122" s="239"/>
      <c r="X122" s="239"/>
      <c r="Y122" s="239"/>
      <c r="Z122" s="239"/>
      <c r="AA122" s="239"/>
      <c r="AB122" s="239"/>
      <c r="AC122" s="239"/>
    </row>
    <row r="123" spans="1:29" ht="16.5" customHeight="1">
      <c r="A123" s="210" t="s">
        <v>761</v>
      </c>
      <c r="B123" s="375" t="s">
        <v>762</v>
      </c>
      <c r="C123" s="361"/>
      <c r="D123" s="358">
        <v>13096670</v>
      </c>
      <c r="E123" s="357">
        <v>12830336</v>
      </c>
      <c r="F123" s="376">
        <v>16050000</v>
      </c>
      <c r="G123" s="357">
        <f t="shared" si="186"/>
        <v>16130250</v>
      </c>
      <c r="H123" s="357">
        <f t="shared" si="187"/>
        <v>16210901.25</v>
      </c>
      <c r="I123" s="357">
        <f t="shared" si="188"/>
        <v>16291955.75625</v>
      </c>
      <c r="J123" s="357">
        <f t="shared" si="189"/>
        <v>16373415.53503125</v>
      </c>
      <c r="K123" s="357">
        <f t="shared" si="190"/>
        <v>16455282.612706406</v>
      </c>
      <c r="L123" s="357">
        <f t="shared" si="191"/>
        <v>16537559.025769938</v>
      </c>
      <c r="M123" s="357">
        <f t="shared" si="192"/>
        <v>16620246.820898788</v>
      </c>
      <c r="N123" s="357">
        <f>(M123*0.5%)+M123+50642.94</f>
        <v>16753990.995003281</v>
      </c>
      <c r="O123" s="357">
        <f t="shared" si="193"/>
        <v>173350607.99565968</v>
      </c>
      <c r="P123" s="361">
        <v>173350608</v>
      </c>
      <c r="Q123" s="252"/>
      <c r="R123" s="252"/>
      <c r="S123" s="252"/>
      <c r="T123" s="239"/>
      <c r="U123" s="239"/>
      <c r="V123" s="239"/>
      <c r="W123" s="239"/>
      <c r="X123" s="239"/>
      <c r="Y123" s="239"/>
      <c r="Z123" s="239"/>
      <c r="AA123" s="239"/>
      <c r="AB123" s="239"/>
      <c r="AC123" s="239"/>
    </row>
    <row r="124" spans="1:29" ht="16.5" customHeight="1">
      <c r="A124" s="210" t="s">
        <v>763</v>
      </c>
      <c r="B124" s="375" t="s">
        <v>764</v>
      </c>
      <c r="C124" s="361"/>
      <c r="D124" s="358">
        <v>2422680</v>
      </c>
      <c r="E124" s="357">
        <v>2202628</v>
      </c>
      <c r="F124" s="376">
        <v>2200000</v>
      </c>
      <c r="G124" s="357">
        <f t="shared" si="186"/>
        <v>2211000</v>
      </c>
      <c r="H124" s="357">
        <f t="shared" si="187"/>
        <v>2222055</v>
      </c>
      <c r="I124" s="357">
        <f t="shared" si="188"/>
        <v>2233165.2749999999</v>
      </c>
      <c r="J124" s="357">
        <f t="shared" si="189"/>
        <v>2244331.1013750001</v>
      </c>
      <c r="K124" s="357">
        <f t="shared" si="190"/>
        <v>2255552.756881875</v>
      </c>
      <c r="L124" s="357">
        <f t="shared" si="191"/>
        <v>2266830.5206662845</v>
      </c>
      <c r="M124" s="357">
        <f t="shared" si="192"/>
        <v>2278164.673269616</v>
      </c>
      <c r="N124" s="357">
        <f>(M124*0.5%)+M124+33429.18</f>
        <v>2322984.6766359643</v>
      </c>
      <c r="O124" s="357">
        <f t="shared" si="193"/>
        <v>24859392.003828742</v>
      </c>
      <c r="P124" s="361">
        <v>24859392</v>
      </c>
      <c r="Q124" s="252"/>
      <c r="R124" s="252"/>
      <c r="S124" s="252"/>
      <c r="T124" s="239"/>
      <c r="U124" s="239"/>
      <c r="V124" s="239"/>
      <c r="W124" s="239"/>
      <c r="X124" s="239"/>
      <c r="Y124" s="239"/>
      <c r="Z124" s="239"/>
      <c r="AA124" s="239"/>
      <c r="AB124" s="239"/>
      <c r="AC124" s="239"/>
    </row>
    <row r="125" spans="1:29" ht="16.5" customHeight="1">
      <c r="A125" s="210" t="s">
        <v>765</v>
      </c>
      <c r="B125" s="375" t="s">
        <v>766</v>
      </c>
      <c r="C125" s="361"/>
      <c r="D125" s="358">
        <v>0</v>
      </c>
      <c r="E125" s="357">
        <v>0</v>
      </c>
      <c r="F125" s="376">
        <v>260000</v>
      </c>
      <c r="G125" s="357">
        <f t="shared" si="186"/>
        <v>261300</v>
      </c>
      <c r="H125" s="357">
        <f t="shared" si="187"/>
        <v>262606.5</v>
      </c>
      <c r="I125" s="357">
        <f t="shared" si="188"/>
        <v>263919.53249999997</v>
      </c>
      <c r="J125" s="357">
        <f t="shared" si="189"/>
        <v>265239.13016249996</v>
      </c>
      <c r="K125" s="357">
        <f t="shared" si="190"/>
        <v>266565.32581331243</v>
      </c>
      <c r="L125" s="357">
        <f t="shared" si="191"/>
        <v>267898.15244237898</v>
      </c>
      <c r="M125" s="357">
        <f t="shared" si="192"/>
        <v>269237.64320459089</v>
      </c>
      <c r="N125" s="357">
        <f>(M125*0.5%)+M125+40547.48</f>
        <v>311131.31142061384</v>
      </c>
      <c r="O125" s="357">
        <f t="shared" si="193"/>
        <v>2427897.5955433962</v>
      </c>
      <c r="P125" s="361">
        <v>2427897.6</v>
      </c>
      <c r="Q125" s="252"/>
      <c r="R125" s="252"/>
      <c r="S125" s="252"/>
      <c r="T125" s="239"/>
      <c r="U125" s="239"/>
      <c r="V125" s="239"/>
      <c r="W125" s="239"/>
      <c r="X125" s="239"/>
      <c r="Y125" s="239"/>
      <c r="Z125" s="239"/>
      <c r="AA125" s="239"/>
      <c r="AB125" s="239"/>
      <c r="AC125" s="239"/>
    </row>
    <row r="126" spans="1:29" ht="16.5" customHeight="1">
      <c r="A126" s="210" t="s">
        <v>767</v>
      </c>
      <c r="B126" s="375" t="s">
        <v>768</v>
      </c>
      <c r="C126" s="361"/>
      <c r="D126" s="358"/>
      <c r="E126" s="357"/>
      <c r="F126" s="376">
        <v>110</v>
      </c>
      <c r="G126" s="357">
        <f t="shared" si="186"/>
        <v>110.55</v>
      </c>
      <c r="H126" s="357">
        <f t="shared" si="187"/>
        <v>111.10275</v>
      </c>
      <c r="I126" s="357">
        <f t="shared" si="188"/>
        <v>111.65826375</v>
      </c>
      <c r="J126" s="357">
        <f t="shared" si="189"/>
        <v>112.21655506875</v>
      </c>
      <c r="K126" s="357">
        <f t="shared" si="190"/>
        <v>112.77763784409375</v>
      </c>
      <c r="L126" s="357">
        <f t="shared" si="191"/>
        <v>113.34152603331421</v>
      </c>
      <c r="M126" s="357">
        <f t="shared" si="192"/>
        <v>113.90823366348079</v>
      </c>
      <c r="N126" s="357">
        <f>(M126*0.5%)+M126-10.03</f>
        <v>104.44777483179818</v>
      </c>
      <c r="O126" s="357">
        <f t="shared" si="193"/>
        <v>1000.0027411914371</v>
      </c>
      <c r="P126" s="361">
        <v>1000</v>
      </c>
      <c r="Q126" s="252"/>
      <c r="R126" s="252"/>
      <c r="S126" s="252"/>
      <c r="T126" s="239"/>
      <c r="U126" s="239"/>
      <c r="V126" s="239"/>
      <c r="W126" s="239"/>
      <c r="X126" s="239"/>
      <c r="Y126" s="239"/>
      <c r="Z126" s="239"/>
      <c r="AA126" s="239"/>
      <c r="AB126" s="239"/>
      <c r="AC126" s="239"/>
    </row>
    <row r="127" spans="1:29" ht="16.5" customHeight="1">
      <c r="A127" s="210" t="s">
        <v>769</v>
      </c>
      <c r="B127" s="375" t="s">
        <v>770</v>
      </c>
      <c r="C127" s="361">
        <v>8642491</v>
      </c>
      <c r="D127" s="358"/>
      <c r="E127" s="357">
        <v>958734</v>
      </c>
      <c r="F127" s="376">
        <v>13550000</v>
      </c>
      <c r="G127" s="357">
        <f t="shared" si="186"/>
        <v>13617750</v>
      </c>
      <c r="H127" s="357">
        <f t="shared" si="187"/>
        <v>13685838.75</v>
      </c>
      <c r="I127" s="357">
        <f t="shared" si="188"/>
        <v>13754267.94375</v>
      </c>
      <c r="J127" s="357">
        <f t="shared" si="189"/>
        <v>13823039.283468749</v>
      </c>
      <c r="K127" s="357">
        <f t="shared" si="190"/>
        <v>13892154.479886092</v>
      </c>
      <c r="L127" s="357">
        <f t="shared" si="191"/>
        <v>13961615.252285523</v>
      </c>
      <c r="M127" s="357">
        <f t="shared" si="192"/>
        <v>14031423.328546951</v>
      </c>
      <c r="N127" s="357">
        <f>(M127*0.5%)+M127+44197.42</f>
        <v>14145777.865189685</v>
      </c>
      <c r="O127" s="357">
        <f t="shared" si="193"/>
        <v>134063091.903127</v>
      </c>
      <c r="P127" s="361">
        <v>134063091.90000001</v>
      </c>
      <c r="Q127" s="252"/>
      <c r="R127" s="252"/>
      <c r="S127" s="252"/>
      <c r="T127" s="239"/>
      <c r="U127" s="239"/>
      <c r="V127" s="239"/>
      <c r="W127" s="239"/>
      <c r="X127" s="239"/>
      <c r="Y127" s="239"/>
      <c r="Z127" s="239"/>
      <c r="AA127" s="239"/>
      <c r="AB127" s="239"/>
      <c r="AC127" s="239"/>
    </row>
    <row r="128" spans="1:29" ht="16.5" customHeight="1">
      <c r="A128" s="210" t="s">
        <v>771</v>
      </c>
      <c r="B128" s="375" t="s">
        <v>772</v>
      </c>
      <c r="C128" s="361">
        <v>1181334</v>
      </c>
      <c r="D128" s="358"/>
      <c r="E128" s="357"/>
      <c r="F128" s="376">
        <v>2150000</v>
      </c>
      <c r="G128" s="357">
        <f t="shared" si="186"/>
        <v>2160750</v>
      </c>
      <c r="H128" s="357">
        <f t="shared" si="187"/>
        <v>2171553.75</v>
      </c>
      <c r="I128" s="357">
        <f t="shared" si="188"/>
        <v>2182411.5187499998</v>
      </c>
      <c r="J128" s="357">
        <f t="shared" si="189"/>
        <v>2193323.5763437496</v>
      </c>
      <c r="K128" s="357">
        <f t="shared" si="190"/>
        <v>2204290.1942254682</v>
      </c>
      <c r="L128" s="357">
        <f t="shared" si="191"/>
        <v>2215311.6451965957</v>
      </c>
      <c r="M128" s="357">
        <f t="shared" si="192"/>
        <v>2226388.2034225785</v>
      </c>
      <c r="N128" s="357">
        <f>(M128*0.5%)+M128+244486.64</f>
        <v>2482006.7844396913</v>
      </c>
      <c r="O128" s="357">
        <f t="shared" si="193"/>
        <v>21167369.672378082</v>
      </c>
      <c r="P128" s="361">
        <v>21167369.670000002</v>
      </c>
      <c r="Q128" s="252"/>
      <c r="R128" s="252"/>
      <c r="S128" s="252"/>
      <c r="T128" s="239"/>
      <c r="U128" s="239"/>
      <c r="V128" s="239"/>
      <c r="W128" s="239"/>
      <c r="X128" s="239"/>
      <c r="Y128" s="239"/>
      <c r="Z128" s="239"/>
      <c r="AA128" s="239"/>
      <c r="AB128" s="239"/>
      <c r="AC128" s="239"/>
    </row>
    <row r="129" spans="1:29" ht="16.5" customHeight="1">
      <c r="A129" s="210" t="s">
        <v>773</v>
      </c>
      <c r="B129" s="375" t="s">
        <v>774</v>
      </c>
      <c r="C129" s="357"/>
      <c r="D129" s="357"/>
      <c r="E129" s="357"/>
      <c r="F129" s="376">
        <v>183000</v>
      </c>
      <c r="G129" s="357">
        <f t="shared" si="186"/>
        <v>183915</v>
      </c>
      <c r="H129" s="357">
        <f t="shared" si="187"/>
        <v>184834.57500000001</v>
      </c>
      <c r="I129" s="357">
        <f t="shared" si="188"/>
        <v>185758.747875</v>
      </c>
      <c r="J129" s="357">
        <f t="shared" si="189"/>
        <v>186687.54161437499</v>
      </c>
      <c r="K129" s="357">
        <f t="shared" si="190"/>
        <v>187620.97932244686</v>
      </c>
      <c r="L129" s="357">
        <f t="shared" si="191"/>
        <v>188559.08421905909</v>
      </c>
      <c r="M129" s="357">
        <f t="shared" si="192"/>
        <v>189501.8796401544</v>
      </c>
      <c r="N129" s="357">
        <f>(M129*0.5%)+M129+89281.47</f>
        <v>279730.85903835518</v>
      </c>
      <c r="O129" s="357">
        <f t="shared" si="193"/>
        <v>1769608.66670939</v>
      </c>
      <c r="P129" s="361">
        <v>1769608.67</v>
      </c>
      <c r="Q129" s="252"/>
      <c r="R129" s="252"/>
      <c r="S129" s="252"/>
      <c r="T129" s="239"/>
      <c r="U129" s="239"/>
      <c r="V129" s="239"/>
      <c r="W129" s="239"/>
      <c r="X129" s="239"/>
      <c r="Y129" s="239"/>
      <c r="Z129" s="239"/>
      <c r="AA129" s="239"/>
      <c r="AB129" s="239"/>
      <c r="AC129" s="239"/>
    </row>
    <row r="130" spans="1:29" ht="16.5" customHeight="1">
      <c r="A130" s="210" t="s">
        <v>775</v>
      </c>
      <c r="B130" s="375" t="s">
        <v>776</v>
      </c>
      <c r="C130" s="357"/>
      <c r="D130" s="357"/>
      <c r="E130" s="357">
        <v>4207600</v>
      </c>
      <c r="F130" s="376">
        <v>5850000</v>
      </c>
      <c r="G130" s="357">
        <f t="shared" si="186"/>
        <v>5879250</v>
      </c>
      <c r="H130" s="357">
        <f t="shared" si="187"/>
        <v>5908646.25</v>
      </c>
      <c r="I130" s="357">
        <f t="shared" si="188"/>
        <v>5938189.4812500002</v>
      </c>
      <c r="J130" s="357">
        <f t="shared" si="189"/>
        <v>5967880.4286562502</v>
      </c>
      <c r="K130" s="357">
        <f t="shared" si="190"/>
        <v>5997719.8307995312</v>
      </c>
      <c r="L130" s="357">
        <f t="shared" si="191"/>
        <v>6027708.4299535286</v>
      </c>
      <c r="M130" s="357">
        <f t="shared" si="192"/>
        <v>6057846.9721032958</v>
      </c>
      <c r="N130" s="357">
        <f>(M130*0.5%)+M130-139441.6</f>
        <v>5948694.6069638124</v>
      </c>
      <c r="O130" s="357">
        <f t="shared" si="193"/>
        <v>57783535.99972643</v>
      </c>
      <c r="P130" s="361">
        <v>57783536</v>
      </c>
      <c r="Q130" s="252"/>
      <c r="R130" s="252"/>
      <c r="S130" s="252"/>
      <c r="T130" s="239"/>
      <c r="U130" s="239"/>
      <c r="V130" s="239"/>
      <c r="W130" s="239"/>
      <c r="X130" s="239"/>
      <c r="Y130" s="239"/>
      <c r="Z130" s="239"/>
      <c r="AA130" s="239"/>
      <c r="AB130" s="239"/>
      <c r="AC130" s="239"/>
    </row>
    <row r="131" spans="1:29" ht="16.5" customHeight="1">
      <c r="A131" s="210" t="s">
        <v>777</v>
      </c>
      <c r="B131" s="375" t="s">
        <v>778</v>
      </c>
      <c r="C131" s="357"/>
      <c r="D131" s="357"/>
      <c r="E131" s="357">
        <v>734400</v>
      </c>
      <c r="F131" s="376">
        <v>831000</v>
      </c>
      <c r="G131" s="357">
        <f t="shared" si="186"/>
        <v>835155</v>
      </c>
      <c r="H131" s="357">
        <f t="shared" si="187"/>
        <v>839330.77500000002</v>
      </c>
      <c r="I131" s="357">
        <f t="shared" si="188"/>
        <v>843527.42887499998</v>
      </c>
      <c r="J131" s="357">
        <f t="shared" si="189"/>
        <v>847745.06601937499</v>
      </c>
      <c r="K131" s="357">
        <f t="shared" si="190"/>
        <v>851983.7913494719</v>
      </c>
      <c r="L131" s="357">
        <f t="shared" si="191"/>
        <v>856243.71030621929</v>
      </c>
      <c r="M131" s="357">
        <f t="shared" si="192"/>
        <v>860524.92885775038</v>
      </c>
      <c r="N131" s="357">
        <f>(M131*0.5%)+M131-78274.25</f>
        <v>786553.30350203917</v>
      </c>
      <c r="O131" s="357">
        <f t="shared" si="193"/>
        <v>8286464.0039098542</v>
      </c>
      <c r="P131" s="361">
        <v>8286464</v>
      </c>
      <c r="Q131" s="252"/>
      <c r="R131" s="252"/>
      <c r="S131" s="252"/>
      <c r="T131" s="239"/>
      <c r="U131" s="239"/>
      <c r="V131" s="239"/>
      <c r="W131" s="239"/>
      <c r="X131" s="239"/>
      <c r="Y131" s="239"/>
      <c r="Z131" s="239"/>
      <c r="AA131" s="239"/>
      <c r="AB131" s="239"/>
      <c r="AC131" s="239"/>
    </row>
    <row r="132" spans="1:29" ht="16.5" customHeight="1">
      <c r="A132" s="210" t="s">
        <v>779</v>
      </c>
      <c r="B132" s="375" t="s">
        <v>780</v>
      </c>
      <c r="C132" s="357"/>
      <c r="D132" s="357"/>
      <c r="E132" s="357"/>
      <c r="F132" s="376">
        <v>81500</v>
      </c>
      <c r="G132" s="357">
        <f t="shared" si="186"/>
        <v>81907.5</v>
      </c>
      <c r="H132" s="357">
        <f t="shared" si="187"/>
        <v>82317.037500000006</v>
      </c>
      <c r="I132" s="357">
        <f t="shared" si="188"/>
        <v>82728.622687499999</v>
      </c>
      <c r="J132" s="357">
        <f t="shared" si="189"/>
        <v>83142.265800937501</v>
      </c>
      <c r="K132" s="357">
        <f t="shared" si="190"/>
        <v>83557.977129942185</v>
      </c>
      <c r="L132" s="357">
        <f t="shared" si="191"/>
        <v>83975.76701559189</v>
      </c>
      <c r="M132" s="357">
        <f t="shared" si="192"/>
        <v>84395.645850669855</v>
      </c>
      <c r="N132" s="357">
        <f>(M132*0.5%)+M132+60956.76</f>
        <v>145774.38407992321</v>
      </c>
      <c r="O132" s="357">
        <f t="shared" si="193"/>
        <v>809299.20006456459</v>
      </c>
      <c r="P132" s="361">
        <v>809299.2</v>
      </c>
      <c r="Q132" s="252"/>
      <c r="R132" s="252"/>
      <c r="S132" s="252"/>
      <c r="T132" s="239"/>
      <c r="U132" s="239"/>
      <c r="V132" s="239"/>
      <c r="W132" s="239"/>
      <c r="X132" s="239"/>
      <c r="Y132" s="239"/>
      <c r="Z132" s="239"/>
      <c r="AA132" s="239"/>
      <c r="AB132" s="239"/>
      <c r="AC132" s="239"/>
    </row>
    <row r="133" spans="1:29" ht="16.5" customHeight="1">
      <c r="A133" s="210" t="s">
        <v>781</v>
      </c>
      <c r="B133" s="375" t="s">
        <v>782</v>
      </c>
      <c r="C133" s="357"/>
      <c r="D133" s="357"/>
      <c r="E133" s="357">
        <v>5355700</v>
      </c>
      <c r="F133" s="376">
        <v>7250000</v>
      </c>
      <c r="G133" s="357">
        <f t="shared" si="186"/>
        <v>7286250</v>
      </c>
      <c r="H133" s="357">
        <f t="shared" si="187"/>
        <v>7322681.25</v>
      </c>
      <c r="I133" s="357">
        <f t="shared" si="188"/>
        <v>7359294.65625</v>
      </c>
      <c r="J133" s="357">
        <f t="shared" si="189"/>
        <v>7396091.1295312503</v>
      </c>
      <c r="K133" s="357">
        <f t="shared" si="190"/>
        <v>7433071.585178907</v>
      </c>
      <c r="L133" s="357">
        <f t="shared" si="191"/>
        <v>7470236.9431048017</v>
      </c>
      <c r="M133" s="357">
        <f t="shared" si="192"/>
        <v>7507588.127820326</v>
      </c>
      <c r="N133" s="357">
        <f>(M133*0.5%)+M133+303380.24</f>
        <v>7848506.3084594281</v>
      </c>
      <c r="O133" s="357">
        <f t="shared" si="193"/>
        <v>72229420.000344709</v>
      </c>
      <c r="P133" s="361">
        <v>72229420</v>
      </c>
      <c r="Q133" s="252"/>
      <c r="R133" s="252"/>
      <c r="S133" s="252"/>
      <c r="T133" s="239"/>
      <c r="U133" s="239"/>
      <c r="V133" s="239"/>
      <c r="W133" s="239"/>
      <c r="X133" s="239"/>
      <c r="Y133" s="239"/>
      <c r="Z133" s="239"/>
      <c r="AA133" s="239"/>
      <c r="AB133" s="239"/>
      <c r="AC133" s="239"/>
    </row>
    <row r="134" spans="1:29" ht="16.5" customHeight="1">
      <c r="A134" s="210" t="s">
        <v>783</v>
      </c>
      <c r="B134" s="375" t="s">
        <v>784</v>
      </c>
      <c r="C134" s="357"/>
      <c r="D134" s="357"/>
      <c r="E134" s="357">
        <v>1277800</v>
      </c>
      <c r="F134" s="376">
        <v>990000</v>
      </c>
      <c r="G134" s="357">
        <f t="shared" si="186"/>
        <v>994950</v>
      </c>
      <c r="H134" s="357">
        <f t="shared" si="187"/>
        <v>999924.75</v>
      </c>
      <c r="I134" s="357">
        <f t="shared" si="188"/>
        <v>1004924.37375</v>
      </c>
      <c r="J134" s="357">
        <f t="shared" si="189"/>
        <v>1009948.99561875</v>
      </c>
      <c r="K134" s="357">
        <f t="shared" si="190"/>
        <v>1014998.7405968438</v>
      </c>
      <c r="L134" s="357">
        <f t="shared" si="191"/>
        <v>1020073.7342998279</v>
      </c>
      <c r="M134" s="357">
        <f t="shared" si="192"/>
        <v>1025174.1029713271</v>
      </c>
      <c r="N134" s="357">
        <f>(M134*0.5%)+M134-10014.67</f>
        <v>1020285.3034861838</v>
      </c>
      <c r="O134" s="357">
        <f t="shared" si="193"/>
        <v>10358080.000722934</v>
      </c>
      <c r="P134" s="361">
        <v>10358080</v>
      </c>
      <c r="Q134" s="252"/>
      <c r="R134" s="252"/>
      <c r="S134" s="252"/>
      <c r="T134" s="239"/>
      <c r="U134" s="239"/>
      <c r="V134" s="239"/>
      <c r="W134" s="239"/>
      <c r="X134" s="239"/>
      <c r="Y134" s="239"/>
      <c r="Z134" s="239"/>
      <c r="AA134" s="239"/>
      <c r="AB134" s="239"/>
      <c r="AC134" s="239"/>
    </row>
    <row r="135" spans="1:29" ht="16.5" customHeight="1">
      <c r="A135" s="210" t="s">
        <v>785</v>
      </c>
      <c r="B135" s="375" t="s">
        <v>786</v>
      </c>
      <c r="C135" s="357"/>
      <c r="D135" s="357"/>
      <c r="E135" s="357">
        <v>0</v>
      </c>
      <c r="F135" s="376">
        <v>110000</v>
      </c>
      <c r="G135" s="357">
        <f t="shared" si="186"/>
        <v>110550</v>
      </c>
      <c r="H135" s="357">
        <f t="shared" si="187"/>
        <v>111102.75</v>
      </c>
      <c r="I135" s="357">
        <f t="shared" si="188"/>
        <v>111658.26375</v>
      </c>
      <c r="J135" s="357">
        <f t="shared" si="189"/>
        <v>112216.55506874999</v>
      </c>
      <c r="K135" s="357">
        <f t="shared" si="190"/>
        <v>112777.63784409374</v>
      </c>
      <c r="L135" s="357">
        <f t="shared" si="191"/>
        <v>113341.52603331421</v>
      </c>
      <c r="M135" s="357">
        <f t="shared" si="192"/>
        <v>113908.23366348077</v>
      </c>
      <c r="N135" s="357">
        <f>(M135*0.5%)+M135+1591.26</f>
        <v>116069.03483179817</v>
      </c>
      <c r="O135" s="357">
        <f t="shared" si="193"/>
        <v>1011624.0011914368</v>
      </c>
      <c r="P135" s="361">
        <v>1011624</v>
      </c>
      <c r="Q135" s="252"/>
      <c r="R135" s="252"/>
      <c r="S135" s="252"/>
      <c r="T135" s="239"/>
      <c r="U135" s="239"/>
      <c r="V135" s="239"/>
      <c r="W135" s="239"/>
      <c r="X135" s="239"/>
      <c r="Y135" s="239"/>
      <c r="Z135" s="239"/>
      <c r="AA135" s="239"/>
      <c r="AB135" s="239"/>
      <c r="AC135" s="239"/>
    </row>
    <row r="136" spans="1:29" ht="16.5" customHeight="1">
      <c r="A136" s="210" t="s">
        <v>787</v>
      </c>
      <c r="B136" s="375" t="s">
        <v>788</v>
      </c>
      <c r="C136" s="357"/>
      <c r="D136" s="357"/>
      <c r="E136" s="357"/>
      <c r="F136" s="376">
        <v>11300000</v>
      </c>
      <c r="G136" s="357">
        <f t="shared" si="186"/>
        <v>11356500</v>
      </c>
      <c r="H136" s="357">
        <f t="shared" si="187"/>
        <v>11413282.5</v>
      </c>
      <c r="I136" s="357">
        <f t="shared" si="188"/>
        <v>11470348.9125</v>
      </c>
      <c r="J136" s="357">
        <f t="shared" si="189"/>
        <v>11527700.657062499</v>
      </c>
      <c r="K136" s="357">
        <f t="shared" si="190"/>
        <v>11585339.160347812</v>
      </c>
      <c r="L136" s="357">
        <f t="shared" si="191"/>
        <v>11643265.856149551</v>
      </c>
      <c r="M136" s="357">
        <f t="shared" si="192"/>
        <v>11701482.185430298</v>
      </c>
      <c r="N136" s="357">
        <f>(M136*0.5%)+M136-293508.87</f>
        <v>11466480.726357451</v>
      </c>
      <c r="O136" s="357">
        <f t="shared" si="193"/>
        <v>103464399.99784762</v>
      </c>
      <c r="P136" s="361">
        <v>103464400</v>
      </c>
      <c r="Q136" s="252"/>
      <c r="R136" s="252"/>
      <c r="S136" s="252"/>
      <c r="T136" s="239"/>
      <c r="U136" s="239"/>
      <c r="V136" s="239"/>
      <c r="W136" s="239"/>
      <c r="X136" s="239"/>
      <c r="Y136" s="239"/>
      <c r="Z136" s="239"/>
      <c r="AA136" s="239"/>
      <c r="AB136" s="239"/>
      <c r="AC136" s="239"/>
    </row>
    <row r="137" spans="1:29" ht="16.5" customHeight="1">
      <c r="A137" s="210" t="s">
        <v>789</v>
      </c>
      <c r="B137" s="375" t="s">
        <v>790</v>
      </c>
      <c r="C137" s="357"/>
      <c r="D137" s="357"/>
      <c r="E137" s="357"/>
      <c r="F137" s="376">
        <v>1310000</v>
      </c>
      <c r="G137" s="357">
        <f t="shared" si="186"/>
        <v>1316550</v>
      </c>
      <c r="H137" s="357">
        <f t="shared" si="187"/>
        <v>1323132.75</v>
      </c>
      <c r="I137" s="357">
        <f t="shared" si="188"/>
        <v>1329748.4137500001</v>
      </c>
      <c r="J137" s="357">
        <f t="shared" si="189"/>
        <v>1336397.1558187502</v>
      </c>
      <c r="K137" s="357">
        <f t="shared" si="190"/>
        <v>1343079.141597844</v>
      </c>
      <c r="L137" s="357">
        <f t="shared" si="191"/>
        <v>1349794.5373058331</v>
      </c>
      <c r="M137" s="357">
        <f t="shared" si="192"/>
        <v>1356543.5099923622</v>
      </c>
      <c r="N137" s="357">
        <f>(M137*0.5%)+M137+169028.26</f>
        <v>1532354.487542324</v>
      </c>
      <c r="O137" s="357">
        <f t="shared" si="193"/>
        <v>12197599.996007115</v>
      </c>
      <c r="P137" s="361">
        <v>12197600</v>
      </c>
      <c r="Q137" s="252"/>
      <c r="R137" s="252"/>
      <c r="S137" s="252"/>
      <c r="T137" s="239"/>
      <c r="U137" s="239"/>
      <c r="V137" s="239"/>
      <c r="W137" s="239"/>
      <c r="X137" s="239"/>
      <c r="Y137" s="239"/>
      <c r="Z137" s="239"/>
      <c r="AA137" s="239"/>
      <c r="AB137" s="239"/>
      <c r="AC137" s="239"/>
    </row>
    <row r="138" spans="1:29" ht="16.5" customHeight="1">
      <c r="A138" s="210" t="s">
        <v>791</v>
      </c>
      <c r="B138" s="375" t="s">
        <v>792</v>
      </c>
      <c r="C138" s="357"/>
      <c r="D138" s="357"/>
      <c r="E138" s="357"/>
      <c r="F138" s="376">
        <v>137000</v>
      </c>
      <c r="G138" s="357">
        <f t="shared" si="186"/>
        <v>137685</v>
      </c>
      <c r="H138" s="357">
        <f t="shared" si="187"/>
        <v>138373.42499999999</v>
      </c>
      <c r="I138" s="357">
        <f t="shared" si="188"/>
        <v>139065.29212499998</v>
      </c>
      <c r="J138" s="357">
        <f t="shared" si="189"/>
        <v>139760.61858562496</v>
      </c>
      <c r="K138" s="357">
        <f t="shared" si="190"/>
        <v>140459.4216785531</v>
      </c>
      <c r="L138" s="357">
        <f t="shared" si="191"/>
        <v>141161.71878694586</v>
      </c>
      <c r="M138" s="357">
        <f t="shared" si="192"/>
        <v>141867.52738088058</v>
      </c>
      <c r="N138" s="357">
        <f>(M138*0.5%)+M138+6850.13</f>
        <v>149426.995017785</v>
      </c>
      <c r="O138" s="357">
        <f t="shared" si="193"/>
        <v>1264799.9985747896</v>
      </c>
      <c r="P138" s="361">
        <v>1264800</v>
      </c>
      <c r="Q138" s="252"/>
      <c r="R138" s="252"/>
      <c r="S138" s="252"/>
      <c r="T138" s="239"/>
      <c r="U138" s="239"/>
      <c r="V138" s="239"/>
      <c r="W138" s="239"/>
      <c r="X138" s="239"/>
      <c r="Y138" s="239"/>
      <c r="Z138" s="239"/>
      <c r="AA138" s="239"/>
      <c r="AB138" s="239"/>
      <c r="AC138" s="239"/>
    </row>
    <row r="139" spans="1:29" ht="16.5" customHeight="1">
      <c r="A139" s="210" t="s">
        <v>793</v>
      </c>
      <c r="B139" s="375" t="s">
        <v>794</v>
      </c>
      <c r="C139" s="357"/>
      <c r="D139" s="357"/>
      <c r="E139" s="357"/>
      <c r="F139" s="376">
        <v>3250000</v>
      </c>
      <c r="G139" s="357">
        <f t="shared" si="186"/>
        <v>3266250</v>
      </c>
      <c r="H139" s="357">
        <f t="shared" si="187"/>
        <v>3282581.25</v>
      </c>
      <c r="I139" s="357">
        <f t="shared" si="188"/>
        <v>3298994.15625</v>
      </c>
      <c r="J139" s="357">
        <f t="shared" si="189"/>
        <v>3315489.1270312499</v>
      </c>
      <c r="K139" s="357">
        <f t="shared" si="190"/>
        <v>3332066.5726664062</v>
      </c>
      <c r="L139" s="357">
        <f t="shared" si="191"/>
        <v>3348726.9055297384</v>
      </c>
      <c r="M139" s="357">
        <f t="shared" si="192"/>
        <v>3365470.5400573872</v>
      </c>
      <c r="N139" s="357">
        <f>(M139*0.5%)+M139+158123.56</f>
        <v>3540421.4527576743</v>
      </c>
      <c r="O139" s="357">
        <f t="shared" si="193"/>
        <v>30000000.004292455</v>
      </c>
      <c r="P139" s="361">
        <v>30000000</v>
      </c>
      <c r="Q139" s="252"/>
      <c r="R139" s="252"/>
      <c r="S139" s="252"/>
      <c r="T139" s="239"/>
      <c r="U139" s="239"/>
      <c r="V139" s="239"/>
      <c r="W139" s="239"/>
      <c r="X139" s="239"/>
      <c r="Y139" s="239"/>
      <c r="Z139" s="239"/>
      <c r="AA139" s="239"/>
      <c r="AB139" s="239"/>
      <c r="AC139" s="239"/>
    </row>
    <row r="140" spans="1:29" ht="16.5" customHeight="1">
      <c r="A140" s="210" t="s">
        <v>795</v>
      </c>
      <c r="B140" s="375" t="s">
        <v>796</v>
      </c>
      <c r="C140" s="357"/>
      <c r="D140" s="357"/>
      <c r="E140" s="357"/>
      <c r="F140" s="376">
        <v>525000</v>
      </c>
      <c r="G140" s="357">
        <f t="shared" si="186"/>
        <v>527625</v>
      </c>
      <c r="H140" s="357">
        <f t="shared" si="187"/>
        <v>530263.125</v>
      </c>
      <c r="I140" s="357">
        <f t="shared" si="188"/>
        <v>532914.44062500005</v>
      </c>
      <c r="J140" s="357">
        <f t="shared" si="189"/>
        <v>535579.01282812504</v>
      </c>
      <c r="K140" s="357">
        <f t="shared" si="190"/>
        <v>538256.90789226571</v>
      </c>
      <c r="L140" s="357">
        <f t="shared" si="191"/>
        <v>540948.19243172708</v>
      </c>
      <c r="M140" s="357">
        <f t="shared" si="192"/>
        <v>543652.93339388573</v>
      </c>
      <c r="N140" s="357">
        <f>(M140*0.5%)+M140+179389.19</f>
        <v>725760.38806085521</v>
      </c>
      <c r="O140" s="357">
        <f t="shared" si="193"/>
        <v>5000000.0002318583</v>
      </c>
      <c r="P140" s="361">
        <v>5000000</v>
      </c>
      <c r="Q140" s="252"/>
      <c r="R140" s="252"/>
      <c r="S140" s="252"/>
      <c r="T140" s="239"/>
      <c r="U140" s="239"/>
      <c r="V140" s="239"/>
      <c r="W140" s="239"/>
      <c r="X140" s="239"/>
      <c r="Y140" s="239"/>
      <c r="Z140" s="239"/>
      <c r="AA140" s="239"/>
      <c r="AB140" s="239"/>
      <c r="AC140" s="239"/>
    </row>
    <row r="141" spans="1:29" ht="16.5" customHeight="1">
      <c r="A141" s="210" t="s">
        <v>797</v>
      </c>
      <c r="B141" s="375" t="s">
        <v>798</v>
      </c>
      <c r="C141" s="357"/>
      <c r="D141" s="357"/>
      <c r="E141" s="357"/>
      <c r="F141" s="376">
        <v>217000</v>
      </c>
      <c r="G141" s="357">
        <f t="shared" si="186"/>
        <v>218085</v>
      </c>
      <c r="H141" s="357">
        <f t="shared" si="187"/>
        <v>219175.42499999999</v>
      </c>
      <c r="I141" s="357">
        <f t="shared" si="188"/>
        <v>220271.30212499999</v>
      </c>
      <c r="J141" s="357">
        <f t="shared" si="189"/>
        <v>221372.65863562498</v>
      </c>
      <c r="K141" s="357">
        <f t="shared" si="190"/>
        <v>222479.52192880309</v>
      </c>
      <c r="L141" s="357">
        <f t="shared" si="191"/>
        <v>223591.91953844711</v>
      </c>
      <c r="M141" s="357">
        <f t="shared" si="192"/>
        <v>224709.87913613935</v>
      </c>
      <c r="N141" s="357">
        <f>(M141*0.5%)+M141+7480.87</f>
        <v>233314.29853182004</v>
      </c>
      <c r="O141" s="357">
        <f t="shared" si="193"/>
        <v>2000000.0048958345</v>
      </c>
      <c r="P141" s="361">
        <v>2000000</v>
      </c>
      <c r="Q141" s="252"/>
      <c r="R141" s="252"/>
      <c r="S141" s="252"/>
      <c r="T141" s="239"/>
      <c r="U141" s="239"/>
      <c r="V141" s="239"/>
      <c r="W141" s="239"/>
      <c r="X141" s="239"/>
      <c r="Y141" s="239"/>
      <c r="Z141" s="239"/>
      <c r="AA141" s="239"/>
      <c r="AB141" s="239"/>
      <c r="AC141" s="239"/>
    </row>
    <row r="142" spans="1:29" ht="16.5" customHeight="1">
      <c r="A142" s="210" t="s">
        <v>799</v>
      </c>
      <c r="B142" s="375" t="s">
        <v>800</v>
      </c>
      <c r="C142" s="357"/>
      <c r="D142" s="357"/>
      <c r="E142" s="357"/>
      <c r="F142" s="376"/>
      <c r="G142" s="357">
        <f t="shared" si="186"/>
        <v>0</v>
      </c>
      <c r="H142" s="357">
        <f t="shared" si="187"/>
        <v>0</v>
      </c>
      <c r="I142" s="357">
        <f t="shared" si="188"/>
        <v>0</v>
      </c>
      <c r="J142" s="357">
        <f t="shared" si="189"/>
        <v>0</v>
      </c>
      <c r="K142" s="357">
        <f t="shared" si="190"/>
        <v>0</v>
      </c>
      <c r="L142" s="357">
        <f t="shared" si="191"/>
        <v>0</v>
      </c>
      <c r="M142" s="357">
        <f t="shared" si="192"/>
        <v>0</v>
      </c>
      <c r="N142" s="361">
        <v>61881060</v>
      </c>
      <c r="O142" s="357">
        <f t="shared" si="193"/>
        <v>61881060</v>
      </c>
      <c r="P142" s="361">
        <v>61881060</v>
      </c>
      <c r="Q142" s="239"/>
      <c r="R142" s="252"/>
      <c r="S142" s="252"/>
      <c r="T142" s="239"/>
      <c r="U142" s="239"/>
      <c r="V142" s="239"/>
      <c r="W142" s="239"/>
      <c r="X142" s="239"/>
      <c r="Y142" s="239"/>
      <c r="Z142" s="239"/>
      <c r="AA142" s="239"/>
      <c r="AB142" s="239"/>
      <c r="AC142" s="239"/>
    </row>
    <row r="143" spans="1:29" ht="16.5" customHeight="1">
      <c r="A143" s="210" t="s">
        <v>801</v>
      </c>
      <c r="B143" s="375" t="s">
        <v>802</v>
      </c>
      <c r="C143" s="357"/>
      <c r="D143" s="357"/>
      <c r="E143" s="357"/>
      <c r="F143" s="376"/>
      <c r="G143" s="357">
        <f t="shared" si="186"/>
        <v>0</v>
      </c>
      <c r="H143" s="357">
        <f t="shared" si="187"/>
        <v>0</v>
      </c>
      <c r="I143" s="357">
        <f t="shared" si="188"/>
        <v>0</v>
      </c>
      <c r="J143" s="357">
        <f t="shared" si="189"/>
        <v>0</v>
      </c>
      <c r="K143" s="357">
        <f t="shared" si="190"/>
        <v>0</v>
      </c>
      <c r="L143" s="357">
        <f t="shared" si="191"/>
        <v>0</v>
      </c>
      <c r="M143" s="357">
        <f t="shared" si="192"/>
        <v>0</v>
      </c>
      <c r="N143" s="361">
        <v>7623500</v>
      </c>
      <c r="O143" s="357">
        <f t="shared" si="193"/>
        <v>7623500</v>
      </c>
      <c r="P143" s="361">
        <v>7623500</v>
      </c>
      <c r="Q143" s="239"/>
      <c r="R143" s="239"/>
      <c r="S143" s="239"/>
      <c r="T143" s="239"/>
      <c r="U143" s="239"/>
      <c r="V143" s="239"/>
      <c r="W143" s="239"/>
      <c r="X143" s="239"/>
      <c r="Y143" s="239"/>
      <c r="Z143" s="239"/>
      <c r="AA143" s="239"/>
      <c r="AB143" s="239"/>
      <c r="AC143" s="239"/>
    </row>
    <row r="144" spans="1:29" ht="16.5" customHeight="1">
      <c r="A144" s="210" t="s">
        <v>803</v>
      </c>
      <c r="B144" s="375" t="s">
        <v>804</v>
      </c>
      <c r="C144" s="357"/>
      <c r="D144" s="357"/>
      <c r="E144" s="357"/>
      <c r="F144" s="376"/>
      <c r="G144" s="357">
        <f t="shared" si="186"/>
        <v>0</v>
      </c>
      <c r="H144" s="357">
        <f t="shared" si="187"/>
        <v>0</v>
      </c>
      <c r="I144" s="357">
        <f t="shared" si="188"/>
        <v>0</v>
      </c>
      <c r="J144" s="357">
        <f t="shared" si="189"/>
        <v>0</v>
      </c>
      <c r="K144" s="357">
        <f t="shared" si="190"/>
        <v>0</v>
      </c>
      <c r="L144" s="357">
        <f t="shared" si="191"/>
        <v>0</v>
      </c>
      <c r="M144" s="357">
        <f t="shared" si="192"/>
        <v>0</v>
      </c>
      <c r="N144" s="361">
        <v>790500</v>
      </c>
      <c r="O144" s="357">
        <f t="shared" si="193"/>
        <v>790500</v>
      </c>
      <c r="P144" s="361">
        <v>790500</v>
      </c>
      <c r="Q144" s="239"/>
      <c r="R144" s="239"/>
      <c r="S144" s="239"/>
      <c r="T144" s="239"/>
      <c r="U144" s="239"/>
      <c r="V144" s="239"/>
      <c r="W144" s="239"/>
      <c r="X144" s="239"/>
      <c r="Y144" s="239"/>
      <c r="Z144" s="239"/>
      <c r="AA144" s="239"/>
      <c r="AB144" s="239"/>
      <c r="AC144" s="239"/>
    </row>
    <row r="145" spans="1:29" ht="16.5" customHeight="1">
      <c r="A145" s="210" t="s">
        <v>805</v>
      </c>
      <c r="B145" s="375" t="s">
        <v>806</v>
      </c>
      <c r="C145" s="361">
        <v>2870117</v>
      </c>
      <c r="D145" s="358">
        <v>2282984</v>
      </c>
      <c r="E145" s="357">
        <v>2778360</v>
      </c>
      <c r="F145" s="376">
        <v>2050000</v>
      </c>
      <c r="G145" s="357">
        <f t="shared" si="186"/>
        <v>2060250</v>
      </c>
      <c r="H145" s="357">
        <f t="shared" si="187"/>
        <v>2070551.25</v>
      </c>
      <c r="I145" s="357">
        <f t="shared" si="188"/>
        <v>2080904.0062500001</v>
      </c>
      <c r="J145" s="357">
        <f t="shared" si="189"/>
        <v>2091308.5262812502</v>
      </c>
      <c r="K145" s="357">
        <f t="shared" si="190"/>
        <v>2101765.0689126565</v>
      </c>
      <c r="L145" s="357">
        <f t="shared" si="191"/>
        <v>2112273.89425722</v>
      </c>
      <c r="M145" s="357">
        <f t="shared" si="192"/>
        <v>2122835.2637285059</v>
      </c>
      <c r="N145" s="357">
        <f>(M145*0.5%)+M145+245201.55</f>
        <v>2378650.9900471484</v>
      </c>
      <c r="O145" s="357">
        <f t="shared" si="193"/>
        <v>26999999.999476783</v>
      </c>
      <c r="P145" s="361">
        <v>27000000</v>
      </c>
      <c r="Q145" s="252"/>
      <c r="R145" s="252"/>
      <c r="S145" s="252"/>
      <c r="T145" s="239"/>
      <c r="U145" s="239"/>
      <c r="V145" s="239"/>
      <c r="W145" s="239"/>
      <c r="X145" s="239"/>
      <c r="Y145" s="239"/>
      <c r="Z145" s="239"/>
      <c r="AA145" s="239"/>
      <c r="AB145" s="239"/>
      <c r="AC145" s="239"/>
    </row>
    <row r="146" spans="1:29" ht="16.5" customHeight="1">
      <c r="A146" s="210" t="s">
        <v>807</v>
      </c>
      <c r="B146" s="375" t="s">
        <v>808</v>
      </c>
      <c r="C146" s="361">
        <v>2000000</v>
      </c>
      <c r="D146" s="358">
        <v>2210120</v>
      </c>
      <c r="E146" s="357">
        <v>1064277</v>
      </c>
      <c r="F146" s="376">
        <v>6050000</v>
      </c>
      <c r="G146" s="357">
        <f t="shared" si="186"/>
        <v>6080250</v>
      </c>
      <c r="H146" s="357">
        <f t="shared" si="187"/>
        <v>6110651.25</v>
      </c>
      <c r="I146" s="357">
        <f t="shared" si="188"/>
        <v>6141204.5062499996</v>
      </c>
      <c r="J146" s="357">
        <f t="shared" si="189"/>
        <v>6171910.5287812492</v>
      </c>
      <c r="K146" s="357">
        <f t="shared" si="190"/>
        <v>6202770.0814251555</v>
      </c>
      <c r="L146" s="357">
        <f t="shared" si="191"/>
        <v>6233783.9318322809</v>
      </c>
      <c r="M146" s="357">
        <f t="shared" si="192"/>
        <v>6264952.851491442</v>
      </c>
      <c r="N146" s="357">
        <f>(M146*0.5%)+M146+28533.57</f>
        <v>6324811.1857488994</v>
      </c>
      <c r="O146" s="357">
        <f t="shared" si="193"/>
        <v>60854731.335529029</v>
      </c>
      <c r="P146" s="361"/>
      <c r="Q146" s="252"/>
      <c r="R146" s="252"/>
      <c r="S146" s="252"/>
      <c r="T146" s="239"/>
      <c r="U146" s="239"/>
      <c r="V146" s="239"/>
      <c r="W146" s="239"/>
      <c r="X146" s="239"/>
      <c r="Y146" s="239"/>
      <c r="Z146" s="239"/>
      <c r="AA146" s="239"/>
      <c r="AB146" s="239"/>
      <c r="AC146" s="239"/>
    </row>
    <row r="147" spans="1:29" ht="15" customHeight="1">
      <c r="A147" s="217" t="s">
        <v>809</v>
      </c>
      <c r="B147" s="389" t="s">
        <v>810</v>
      </c>
      <c r="C147" s="417" cm="1">
        <f t="array" ref="C147">C148+C162+C172+C176+C190+C195</f>
        <v>344289050.94</v>
      </c>
      <c r="D147" s="409" cm="1">
        <f t="array" ref="D147">D148+D162+D172+D176+D190+D195</f>
        <v>487160138.24000001</v>
      </c>
      <c r="E147" s="409" cm="1">
        <f t="array" ref="E147">E148+E162+E172+E176+E190+E195</f>
        <v>4970893803.5</v>
      </c>
      <c r="F147" s="399" cm="1">
        <f t="array" ref="F147">F148+F162+F172+F176+F190+F195</f>
        <v>1324705110</v>
      </c>
      <c r="G147" s="218" cm="1">
        <f t="array" ref="G147">G148+G162+G172+G176+G190+G195</f>
        <v>5476954635.5500002</v>
      </c>
      <c r="H147" s="218" cm="1">
        <f t="array" ref="H147">H148+H162+H172+H176+H190+H195</f>
        <v>5504338403.7277498</v>
      </c>
      <c r="I147" s="218" cm="1">
        <f t="array" ref="I147">I148+I162+I172+I176+I190+I195</f>
        <v>5531860095.7463894</v>
      </c>
      <c r="J147" s="218" cm="1">
        <f t="array" ref="J147">J148+J162+J172+J176+J190+J195</f>
        <v>5559519396.2251215</v>
      </c>
      <c r="K147" s="218" cm="1">
        <f t="array" ref="K147">K148+K162+K172+K176+K190+K195</f>
        <v>5587316993.2062454</v>
      </c>
      <c r="L147" s="218" cm="1">
        <f t="array" ref="L147">L148+L162+L172+L176+L190+L195</f>
        <v>5615253578.1722775</v>
      </c>
      <c r="M147" s="218" cm="1">
        <f t="array" ref="M147">M148+M162+M172+M176+M190+M195</f>
        <v>5643329846.0631409</v>
      </c>
      <c r="N147" s="218" cm="1">
        <f t="array" ref="N147">N148+N162+N172+N176+N190+N195</f>
        <v>5684852948.5934553</v>
      </c>
      <c r="O147" s="218" cm="1">
        <f t="array" ref="O147">O148+O162+O172+O176+O190+O195</f>
        <v>51730473999.964371</v>
      </c>
      <c r="P147" s="243"/>
      <c r="Q147" s="239"/>
      <c r="R147" s="252"/>
      <c r="S147" s="252"/>
      <c r="T147" s="239"/>
      <c r="U147" s="239"/>
      <c r="V147" s="239"/>
      <c r="W147" s="239"/>
      <c r="X147" s="239"/>
      <c r="Y147" s="239"/>
      <c r="Z147" s="239"/>
      <c r="AA147" s="239"/>
      <c r="AB147" s="239"/>
      <c r="AC147" s="239"/>
    </row>
    <row r="148" spans="1:29" ht="15" customHeight="1">
      <c r="A148" s="219" t="s">
        <v>811</v>
      </c>
      <c r="B148" s="377" t="s">
        <v>812</v>
      </c>
      <c r="C148" s="379">
        <f>SUM(C149:C161)</f>
        <v>332056667</v>
      </c>
      <c r="D148" s="379">
        <f t="shared" ref="D148:N148" si="194">SUM(D149:D161)</f>
        <v>434070875</v>
      </c>
      <c r="E148" s="379">
        <f t="shared" si="194"/>
        <v>4790664751.0299997</v>
      </c>
      <c r="F148" s="379">
        <f t="shared" si="194"/>
        <v>643570000</v>
      </c>
      <c r="G148" s="379">
        <f t="shared" si="194"/>
        <v>4897937850</v>
      </c>
      <c r="H148" s="379">
        <f t="shared" si="194"/>
        <v>4922427539.25</v>
      </c>
      <c r="I148" s="379">
        <f t="shared" si="194"/>
        <v>4947039676.9462509</v>
      </c>
      <c r="J148" s="379">
        <f t="shared" si="194"/>
        <v>4971774875.3309822</v>
      </c>
      <c r="K148" s="379">
        <f t="shared" si="194"/>
        <v>4996633749.7076349</v>
      </c>
      <c r="L148" s="379">
        <f t="shared" si="194"/>
        <v>5021616918.4561749</v>
      </c>
      <c r="M148" s="379">
        <f t="shared" si="194"/>
        <v>5046725003.0484571</v>
      </c>
      <c r="N148" s="379">
        <f t="shared" si="194"/>
        <v>5080954094.2036982</v>
      </c>
      <c r="O148" s="221" cm="1">
        <f t="array" ref="O148">SUM(C148:N148)</f>
        <v>46085471999.97319</v>
      </c>
      <c r="P148" s="243"/>
      <c r="Q148" s="239"/>
      <c r="R148" s="239"/>
      <c r="S148" s="239"/>
      <c r="T148" s="239"/>
      <c r="U148" s="239"/>
      <c r="V148" s="239"/>
      <c r="W148" s="239"/>
      <c r="X148" s="239"/>
      <c r="Y148" s="239"/>
      <c r="Z148" s="239"/>
      <c r="AA148" s="239"/>
      <c r="AB148" s="239"/>
      <c r="AC148" s="239"/>
    </row>
    <row r="149" spans="1:29" ht="16.5" customHeight="1">
      <c r="A149" s="210" t="s">
        <v>813</v>
      </c>
      <c r="B149" s="375" t="s">
        <v>814</v>
      </c>
      <c r="C149" s="357"/>
      <c r="D149" s="357"/>
      <c r="E149" s="376">
        <v>2940000000</v>
      </c>
      <c r="F149" s="376">
        <v>0</v>
      </c>
      <c r="G149" s="357">
        <f>(E149*0.5%)+E149</f>
        <v>2954700000</v>
      </c>
      <c r="H149" s="357">
        <f t="shared" ref="H149" si="195">(G149*0.5%)+G149</f>
        <v>2969473500</v>
      </c>
      <c r="I149" s="357">
        <f t="shared" ref="I149" si="196">(H149*0.5%)+H149</f>
        <v>2984320867.5</v>
      </c>
      <c r="J149" s="357">
        <f t="shared" ref="J149" si="197">(I149*(0.5%)+I149)</f>
        <v>2999242471.8375001</v>
      </c>
      <c r="K149" s="357">
        <f t="shared" ref="K149" si="198">(J149*0.5%)+J149</f>
        <v>3014238684.1966877</v>
      </c>
      <c r="L149" s="357">
        <f t="shared" ref="L149" si="199">(K149*0.5%)+K149</f>
        <v>3029309877.617671</v>
      </c>
      <c r="M149" s="357">
        <f t="shared" ref="M149" si="200">(L149*0.5%)+L149</f>
        <v>3044456427.0057592</v>
      </c>
      <c r="N149" s="357">
        <f>(M149*0.5%)+M149+4579462.7</f>
        <v>3064258171.8407879</v>
      </c>
      <c r="O149" s="357">
        <f t="shared" ref="O149" si="201">SUM(C149:N149)</f>
        <v>26999999999.998405</v>
      </c>
      <c r="P149" s="361">
        <v>27000000000</v>
      </c>
      <c r="Q149" s="252"/>
      <c r="R149" s="252"/>
      <c r="S149" s="252"/>
      <c r="T149" s="239"/>
      <c r="U149" s="239"/>
      <c r="V149" s="239"/>
      <c r="W149" s="239"/>
      <c r="X149" s="239"/>
      <c r="Y149" s="239"/>
      <c r="Z149" s="239"/>
      <c r="AA149" s="239"/>
      <c r="AB149" s="239"/>
      <c r="AC149" s="239"/>
    </row>
    <row r="150" spans="1:29" ht="16.5" customHeight="1">
      <c r="A150" s="210" t="s">
        <v>815</v>
      </c>
      <c r="B150" s="375" t="s">
        <v>816</v>
      </c>
      <c r="C150" s="357"/>
      <c r="D150" s="358">
        <v>150000000</v>
      </c>
      <c r="E150" s="376">
        <v>1290000000</v>
      </c>
      <c r="F150" s="376">
        <v>0</v>
      </c>
      <c r="G150" s="357">
        <f>(E150*0.5%)+E150</f>
        <v>1296450000</v>
      </c>
      <c r="H150" s="357">
        <f t="shared" ref="H150:H161" si="202">(G150*0.5%)+G150</f>
        <v>1302932250</v>
      </c>
      <c r="I150" s="357">
        <f t="shared" ref="I150:I161" si="203">(H150*0.5%)+H150</f>
        <v>1309446911.25</v>
      </c>
      <c r="J150" s="357">
        <f t="shared" ref="J150:J161" si="204">(I150*(0.5%)+I150)</f>
        <v>1315994145.8062501</v>
      </c>
      <c r="K150" s="357">
        <f t="shared" ref="K150:K161" si="205">(J150*0.5%)+J150</f>
        <v>1322574116.5352814</v>
      </c>
      <c r="L150" s="357">
        <f t="shared" ref="L150:L161" si="206">(K150*0.5%)+K150</f>
        <v>1329186987.1179578</v>
      </c>
      <c r="M150" s="357">
        <f t="shared" ref="M150:M161" si="207">(L150*0.5%)+L150</f>
        <v>1335832922.0535476</v>
      </c>
      <c r="N150" s="357">
        <f>(M150*0.5%)+M150+5070580.57</f>
        <v>1347582667.2338152</v>
      </c>
      <c r="O150" s="357">
        <f t="shared" ref="O150:O161" si="208">SUM(C150:N150)</f>
        <v>11999999999.996849</v>
      </c>
      <c r="P150" s="361">
        <v>12000000000</v>
      </c>
      <c r="Q150" s="252"/>
      <c r="R150" s="252"/>
      <c r="S150" s="252"/>
      <c r="T150" s="239"/>
      <c r="U150" s="239"/>
      <c r="V150" s="239"/>
      <c r="W150" s="239"/>
      <c r="X150" s="239"/>
      <c r="Y150" s="239"/>
      <c r="Z150" s="239"/>
      <c r="AA150" s="239"/>
      <c r="AB150" s="239"/>
      <c r="AC150" s="239"/>
    </row>
    <row r="151" spans="1:29" ht="16.5" customHeight="1">
      <c r="A151" s="210" t="s">
        <v>817</v>
      </c>
      <c r="B151" s="375" t="s">
        <v>818</v>
      </c>
      <c r="C151" s="357"/>
      <c r="D151" s="358">
        <v>437000</v>
      </c>
      <c r="E151" s="358">
        <v>1987500</v>
      </c>
      <c r="F151" s="376">
        <v>3000000</v>
      </c>
      <c r="G151" s="357">
        <f t="shared" ref="G151:G161" si="209">(F151*0.5%)+F151</f>
        <v>3015000</v>
      </c>
      <c r="H151" s="357">
        <f t="shared" si="202"/>
        <v>3030075</v>
      </c>
      <c r="I151" s="357">
        <f t="shared" si="203"/>
        <v>3045225.375</v>
      </c>
      <c r="J151" s="357">
        <f t="shared" si="204"/>
        <v>3060451.5018750001</v>
      </c>
      <c r="K151" s="357">
        <f t="shared" si="205"/>
        <v>3075753.7593843751</v>
      </c>
      <c r="L151" s="357">
        <f t="shared" si="206"/>
        <v>3091132.5281812968</v>
      </c>
      <c r="M151" s="357">
        <f t="shared" si="207"/>
        <v>3106588.1908222032</v>
      </c>
      <c r="N151" s="357">
        <f>(M151*0.5%)+M151+29152.51</f>
        <v>3151273.641776314</v>
      </c>
      <c r="O151" s="357">
        <f t="shared" si="208"/>
        <v>29999999.997039184</v>
      </c>
      <c r="P151" s="361">
        <v>30000000</v>
      </c>
      <c r="Q151" s="252"/>
      <c r="R151" s="252"/>
      <c r="S151" s="252"/>
      <c r="T151" s="239"/>
      <c r="U151" s="239"/>
      <c r="V151" s="239"/>
      <c r="W151" s="239"/>
      <c r="X151" s="239"/>
      <c r="Y151" s="239"/>
      <c r="Z151" s="239"/>
      <c r="AA151" s="239"/>
      <c r="AB151" s="239"/>
      <c r="AC151" s="239"/>
    </row>
    <row r="152" spans="1:29" ht="16.5" customHeight="1">
      <c r="A152" s="210" t="s">
        <v>819</v>
      </c>
      <c r="B152" s="375" t="s">
        <v>820</v>
      </c>
      <c r="C152" s="357"/>
      <c r="D152" s="358">
        <v>92797650</v>
      </c>
      <c r="E152" s="358">
        <v>147723340</v>
      </c>
      <c r="F152" s="376">
        <v>170000000</v>
      </c>
      <c r="G152" s="357">
        <f t="shared" si="209"/>
        <v>170850000</v>
      </c>
      <c r="H152" s="357">
        <f t="shared" si="202"/>
        <v>171704250</v>
      </c>
      <c r="I152" s="357">
        <f t="shared" si="203"/>
        <v>172562771.25</v>
      </c>
      <c r="J152" s="357">
        <f t="shared" si="204"/>
        <v>173425585.10624999</v>
      </c>
      <c r="K152" s="357">
        <f t="shared" si="205"/>
        <v>174292713.03178123</v>
      </c>
      <c r="L152" s="357">
        <f t="shared" si="206"/>
        <v>175164176.59694013</v>
      </c>
      <c r="M152" s="357">
        <f t="shared" si="207"/>
        <v>176039997.47992483</v>
      </c>
      <c r="N152" s="357">
        <f>(M152*0.5%)+M152-1480680.93</f>
        <v>175439516.53732446</v>
      </c>
      <c r="O152" s="357">
        <f t="shared" si="208"/>
        <v>1800000000.0022206</v>
      </c>
      <c r="P152" s="361">
        <v>1800000000</v>
      </c>
      <c r="Q152" s="252"/>
      <c r="R152" s="252"/>
      <c r="S152" s="252"/>
      <c r="T152" s="239"/>
      <c r="U152" s="239"/>
      <c r="V152" s="239"/>
      <c r="W152" s="239"/>
      <c r="X152" s="239"/>
      <c r="Y152" s="239"/>
      <c r="Z152" s="239"/>
      <c r="AA152" s="239"/>
      <c r="AB152" s="239"/>
      <c r="AC152" s="239"/>
    </row>
    <row r="153" spans="1:29" ht="16.5" customHeight="1">
      <c r="A153" s="210" t="s">
        <v>821</v>
      </c>
      <c r="B153" s="375" t="s">
        <v>822</v>
      </c>
      <c r="C153" s="357"/>
      <c r="D153" s="357"/>
      <c r="E153" s="358">
        <v>49764000</v>
      </c>
      <c r="F153" s="376">
        <v>3300000</v>
      </c>
      <c r="G153" s="357">
        <f t="shared" si="209"/>
        <v>3316500</v>
      </c>
      <c r="H153" s="357">
        <f t="shared" si="202"/>
        <v>3333082.5</v>
      </c>
      <c r="I153" s="357">
        <f t="shared" si="203"/>
        <v>3349747.9125000001</v>
      </c>
      <c r="J153" s="357">
        <f t="shared" si="204"/>
        <v>3366496.6520624999</v>
      </c>
      <c r="K153" s="357">
        <f t="shared" si="205"/>
        <v>3383329.1353228125</v>
      </c>
      <c r="L153" s="357">
        <f t="shared" si="206"/>
        <v>3400245.7809994267</v>
      </c>
      <c r="M153" s="357">
        <f t="shared" si="207"/>
        <v>3417247.0099044237</v>
      </c>
      <c r="N153" s="357">
        <f>(M153*0.5%)+M153-64982.24</f>
        <v>3369351.0049539455</v>
      </c>
      <c r="O153" s="357">
        <f t="shared" si="208"/>
        <v>79999999.995743111</v>
      </c>
      <c r="P153" s="361">
        <v>80000000</v>
      </c>
      <c r="Q153" s="252"/>
      <c r="R153" s="252"/>
      <c r="S153" s="252"/>
      <c r="T153" s="239"/>
      <c r="U153" s="239"/>
      <c r="V153" s="239"/>
      <c r="W153" s="239"/>
      <c r="X153" s="239"/>
      <c r="Y153" s="239"/>
      <c r="Z153" s="239"/>
      <c r="AA153" s="239"/>
      <c r="AB153" s="239"/>
      <c r="AC153" s="239"/>
    </row>
    <row r="154" spans="1:29" ht="16.5" customHeight="1">
      <c r="A154" s="210" t="s">
        <v>823</v>
      </c>
      <c r="B154" s="375" t="s">
        <v>824</v>
      </c>
      <c r="C154" s="357"/>
      <c r="D154" s="357"/>
      <c r="E154" s="358">
        <v>5148000</v>
      </c>
      <c r="F154" s="376">
        <v>29500000</v>
      </c>
      <c r="G154" s="357">
        <f t="shared" si="209"/>
        <v>29647500</v>
      </c>
      <c r="H154" s="357">
        <f t="shared" si="202"/>
        <v>29795737.5</v>
      </c>
      <c r="I154" s="357">
        <f t="shared" si="203"/>
        <v>29944716.1875</v>
      </c>
      <c r="J154" s="357">
        <f t="shared" si="204"/>
        <v>30094439.768437501</v>
      </c>
      <c r="K154" s="357">
        <f t="shared" si="205"/>
        <v>30244911.967279688</v>
      </c>
      <c r="L154" s="357">
        <f t="shared" si="206"/>
        <v>30396136.527116086</v>
      </c>
      <c r="M154" s="357">
        <f t="shared" si="207"/>
        <v>30548117.209751666</v>
      </c>
      <c r="N154" s="357">
        <f>(M154*0.5%)+M154-548416.96</f>
        <v>30152440.835800424</v>
      </c>
      <c r="O154" s="357">
        <f t="shared" si="208"/>
        <v>275471999.99588537</v>
      </c>
      <c r="P154" s="361">
        <v>275472000</v>
      </c>
      <c r="Q154" s="252"/>
      <c r="R154" s="252"/>
      <c r="S154" s="252"/>
      <c r="T154" s="239"/>
      <c r="U154" s="239"/>
      <c r="V154" s="239"/>
      <c r="W154" s="239"/>
      <c r="X154" s="239"/>
      <c r="Y154" s="239"/>
      <c r="Z154" s="239"/>
      <c r="AA154" s="239"/>
      <c r="AB154" s="239"/>
      <c r="AC154" s="239"/>
    </row>
    <row r="155" spans="1:29" ht="16.5" customHeight="1">
      <c r="A155" s="210" t="s">
        <v>825</v>
      </c>
      <c r="B155" s="375" t="s">
        <v>826</v>
      </c>
      <c r="C155" s="361">
        <v>263445</v>
      </c>
      <c r="D155" s="358">
        <v>5539367</v>
      </c>
      <c r="E155" s="358">
        <v>6310386.0300000003</v>
      </c>
      <c r="F155" s="376">
        <v>85700000</v>
      </c>
      <c r="G155" s="357">
        <f t="shared" si="209"/>
        <v>86128500</v>
      </c>
      <c r="H155" s="357">
        <f t="shared" si="202"/>
        <v>86559142.5</v>
      </c>
      <c r="I155" s="357">
        <f t="shared" si="203"/>
        <v>86991938.212500006</v>
      </c>
      <c r="J155" s="357">
        <f t="shared" si="204"/>
        <v>87426897.903562501</v>
      </c>
      <c r="K155" s="357">
        <f t="shared" si="205"/>
        <v>87864032.393080309</v>
      </c>
      <c r="L155" s="357">
        <f t="shared" si="206"/>
        <v>88303352.555045709</v>
      </c>
      <c r="M155" s="357">
        <f t="shared" si="207"/>
        <v>88744869.317820936</v>
      </c>
      <c r="N155" s="357">
        <f>(M155*0.5%)+M155+979475.42</f>
        <v>90168069.084410042</v>
      </c>
      <c r="O155" s="357">
        <f t="shared" si="208"/>
        <v>799999999.99641943</v>
      </c>
      <c r="P155" s="361">
        <v>800000000</v>
      </c>
      <c r="Q155" s="252"/>
      <c r="R155" s="252"/>
      <c r="S155" s="252"/>
      <c r="T155" s="239"/>
      <c r="U155" s="239"/>
      <c r="V155" s="239"/>
      <c r="W155" s="239"/>
      <c r="X155" s="239"/>
      <c r="Y155" s="239"/>
      <c r="Z155" s="239"/>
      <c r="AA155" s="239"/>
      <c r="AB155" s="239"/>
      <c r="AC155" s="239"/>
    </row>
    <row r="156" spans="1:29" ht="16.5" customHeight="1">
      <c r="A156" s="210" t="s">
        <v>827</v>
      </c>
      <c r="B156" s="375" t="s">
        <v>828</v>
      </c>
      <c r="C156" s="361">
        <v>331793222</v>
      </c>
      <c r="D156" s="358">
        <v>164707387</v>
      </c>
      <c r="E156" s="358">
        <v>328459771</v>
      </c>
      <c r="F156" s="376">
        <v>291300000</v>
      </c>
      <c r="G156" s="357">
        <f t="shared" si="209"/>
        <v>292756500</v>
      </c>
      <c r="H156" s="357">
        <f t="shared" si="202"/>
        <v>294220282.5</v>
      </c>
      <c r="I156" s="357">
        <f t="shared" si="203"/>
        <v>295691383.91250002</v>
      </c>
      <c r="J156" s="357">
        <f t="shared" si="204"/>
        <v>297169840.83206254</v>
      </c>
      <c r="K156" s="357">
        <f t="shared" si="205"/>
        <v>298655690.03622288</v>
      </c>
      <c r="L156" s="357">
        <f t="shared" si="206"/>
        <v>300148968.486404</v>
      </c>
      <c r="M156" s="357">
        <f t="shared" si="207"/>
        <v>301649713.32883602</v>
      </c>
      <c r="N156" s="357">
        <f>(M156*0.5%)+M156+289279.01</f>
        <v>303447240.90548021</v>
      </c>
      <c r="O156" s="357">
        <f t="shared" si="208"/>
        <v>3500000000.0015059</v>
      </c>
      <c r="P156" s="361">
        <v>3500000000</v>
      </c>
      <c r="Q156" s="252"/>
      <c r="R156" s="252"/>
      <c r="S156" s="252"/>
      <c r="T156" s="239"/>
      <c r="U156" s="239"/>
      <c r="V156" s="239"/>
      <c r="W156" s="239"/>
      <c r="X156" s="239"/>
      <c r="Y156" s="239"/>
      <c r="Z156" s="239"/>
      <c r="AA156" s="239"/>
      <c r="AB156" s="239"/>
      <c r="AC156" s="239"/>
    </row>
    <row r="157" spans="1:29" ht="16.5" customHeight="1">
      <c r="A157" s="210" t="s">
        <v>829</v>
      </c>
      <c r="B157" s="375" t="s">
        <v>830</v>
      </c>
      <c r="C157" s="357"/>
      <c r="D157" s="357"/>
      <c r="E157" s="357"/>
      <c r="F157" s="376">
        <v>10900000</v>
      </c>
      <c r="G157" s="357">
        <f t="shared" si="209"/>
        <v>10954500</v>
      </c>
      <c r="H157" s="357">
        <f t="shared" si="202"/>
        <v>11009272.5</v>
      </c>
      <c r="I157" s="357">
        <f t="shared" si="203"/>
        <v>11064318.862500001</v>
      </c>
      <c r="J157" s="357">
        <f t="shared" si="204"/>
        <v>11119640.456812501</v>
      </c>
      <c r="K157" s="357">
        <f t="shared" si="205"/>
        <v>11175238.659096563</v>
      </c>
      <c r="L157" s="357">
        <f t="shared" si="206"/>
        <v>11231114.852392046</v>
      </c>
      <c r="M157" s="357">
        <f t="shared" si="207"/>
        <v>11287270.426654005</v>
      </c>
      <c r="N157" s="357">
        <f>(M157*0.5%)+M157-85062.54</f>
        <v>11258644.238787277</v>
      </c>
      <c r="O157" s="357">
        <f t="shared" si="208"/>
        <v>99999999.996242389</v>
      </c>
      <c r="P157" s="361">
        <v>100000000</v>
      </c>
      <c r="Q157" s="252"/>
      <c r="R157" s="252"/>
      <c r="S157" s="252"/>
      <c r="T157" s="239"/>
      <c r="U157" s="239"/>
      <c r="V157" s="239"/>
      <c r="W157" s="239"/>
      <c r="X157" s="239"/>
      <c r="Y157" s="239"/>
      <c r="Z157" s="239"/>
      <c r="AA157" s="239"/>
      <c r="AB157" s="239"/>
      <c r="AC157" s="239"/>
    </row>
    <row r="158" spans="1:29" ht="16.5" customHeight="1">
      <c r="A158" s="210" t="s">
        <v>831</v>
      </c>
      <c r="B158" s="375" t="s">
        <v>1288</v>
      </c>
      <c r="C158" s="357"/>
      <c r="D158" s="358">
        <v>20589471</v>
      </c>
      <c r="E158" s="358">
        <v>21271754</v>
      </c>
      <c r="F158" s="376">
        <v>17220000</v>
      </c>
      <c r="G158" s="357">
        <f t="shared" si="209"/>
        <v>17306100</v>
      </c>
      <c r="H158" s="357">
        <f t="shared" si="202"/>
        <v>17392630.5</v>
      </c>
      <c r="I158" s="357">
        <f t="shared" si="203"/>
        <v>17479593.6525</v>
      </c>
      <c r="J158" s="357">
        <f t="shared" si="204"/>
        <v>17566991.620762501</v>
      </c>
      <c r="K158" s="357">
        <f t="shared" si="205"/>
        <v>17654826.578866314</v>
      </c>
      <c r="L158" s="357">
        <f t="shared" si="206"/>
        <v>17743100.711760644</v>
      </c>
      <c r="M158" s="357">
        <f t="shared" si="207"/>
        <v>17831816.215319447</v>
      </c>
      <c r="N158" s="357">
        <f>(M158*0.5%)+M158+22740.42</f>
        <v>17943715.716396045</v>
      </c>
      <c r="O158" s="357">
        <f t="shared" si="208"/>
        <v>199999999.99560493</v>
      </c>
      <c r="P158" s="361">
        <v>200000000</v>
      </c>
      <c r="Q158" s="252"/>
      <c r="R158" s="252"/>
      <c r="S158" s="252"/>
      <c r="T158" s="239"/>
      <c r="U158" s="239"/>
      <c r="V158" s="239"/>
      <c r="W158" s="239"/>
      <c r="X158" s="239"/>
      <c r="Y158" s="239"/>
      <c r="Z158" s="239"/>
      <c r="AA158" s="239"/>
      <c r="AB158" s="239"/>
      <c r="AC158" s="239"/>
    </row>
    <row r="159" spans="1:29" ht="16.5" customHeight="1">
      <c r="A159" s="210" t="s">
        <v>1117</v>
      </c>
      <c r="B159" s="375" t="s">
        <v>1273</v>
      </c>
      <c r="C159" s="357"/>
      <c r="D159" s="357"/>
      <c r="E159" s="357"/>
      <c r="F159" s="376">
        <v>10900000</v>
      </c>
      <c r="G159" s="357">
        <f t="shared" si="209"/>
        <v>10954500</v>
      </c>
      <c r="H159" s="357">
        <f t="shared" si="202"/>
        <v>11009272.5</v>
      </c>
      <c r="I159" s="357">
        <f t="shared" si="203"/>
        <v>11064318.862500001</v>
      </c>
      <c r="J159" s="357">
        <f t="shared" si="204"/>
        <v>11119640.456812501</v>
      </c>
      <c r="K159" s="357">
        <f t="shared" si="205"/>
        <v>11175238.659096563</v>
      </c>
      <c r="L159" s="357">
        <f t="shared" si="206"/>
        <v>11231114.852392046</v>
      </c>
      <c r="M159" s="357">
        <f t="shared" si="207"/>
        <v>11287270.426654005</v>
      </c>
      <c r="N159" s="357">
        <f>(M159*0.5%)+M159-85062.54</f>
        <v>11258644.238787277</v>
      </c>
      <c r="O159" s="357">
        <f t="shared" si="208"/>
        <v>99999999.996242389</v>
      </c>
      <c r="P159" s="361">
        <v>100000000</v>
      </c>
      <c r="Q159" s="252"/>
      <c r="R159" s="252"/>
      <c r="S159" s="252"/>
      <c r="T159" s="239"/>
      <c r="U159" s="239"/>
      <c r="V159" s="239"/>
      <c r="W159" s="239"/>
      <c r="X159" s="239"/>
      <c r="Y159" s="239"/>
      <c r="Z159" s="239"/>
      <c r="AA159" s="239"/>
      <c r="AB159" s="239"/>
      <c r="AC159" s="239"/>
    </row>
    <row r="160" spans="1:29" ht="16.5" customHeight="1">
      <c r="A160" s="210" t="s">
        <v>1118</v>
      </c>
      <c r="B160" s="375" t="s">
        <v>1271</v>
      </c>
      <c r="C160" s="357"/>
      <c r="D160" s="357"/>
      <c r="E160" s="357"/>
      <c r="F160" s="376">
        <v>5450000</v>
      </c>
      <c r="G160" s="357">
        <f t="shared" si="209"/>
        <v>5477250</v>
      </c>
      <c r="H160" s="357">
        <f t="shared" si="202"/>
        <v>5504636.25</v>
      </c>
      <c r="I160" s="357">
        <f t="shared" si="203"/>
        <v>5532159.4312500004</v>
      </c>
      <c r="J160" s="357">
        <f t="shared" si="204"/>
        <v>5559820.2284062505</v>
      </c>
      <c r="K160" s="357">
        <f t="shared" si="205"/>
        <v>5587619.3295482816</v>
      </c>
      <c r="L160" s="357">
        <f t="shared" si="206"/>
        <v>5615557.4261960229</v>
      </c>
      <c r="M160" s="357">
        <f t="shared" si="207"/>
        <v>5643635.2133270027</v>
      </c>
      <c r="N160" s="357">
        <f>(M160*0.5%)+M160-42531.27</f>
        <v>5629322.1193936383</v>
      </c>
      <c r="O160" s="357">
        <f t="shared" si="208"/>
        <v>49999999.998121195</v>
      </c>
      <c r="P160" s="361">
        <v>50000000</v>
      </c>
      <c r="Q160" s="252"/>
      <c r="R160" s="252"/>
      <c r="S160" s="252"/>
      <c r="T160" s="239"/>
      <c r="U160" s="239"/>
      <c r="V160" s="239"/>
      <c r="W160" s="239"/>
      <c r="X160" s="239"/>
      <c r="Y160" s="239"/>
      <c r="Z160" s="239"/>
      <c r="AA160" s="239"/>
      <c r="AB160" s="239"/>
      <c r="AC160" s="239"/>
    </row>
    <row r="161" spans="1:29" ht="16.5" customHeight="1">
      <c r="A161" s="210" t="s">
        <v>1119</v>
      </c>
      <c r="B161" s="375" t="s">
        <v>1272</v>
      </c>
      <c r="C161" s="357"/>
      <c r="D161" s="357"/>
      <c r="E161" s="357"/>
      <c r="F161" s="376">
        <v>16300000</v>
      </c>
      <c r="G161" s="357">
        <f t="shared" si="209"/>
        <v>16381500</v>
      </c>
      <c r="H161" s="357">
        <f t="shared" si="202"/>
        <v>16463407.5</v>
      </c>
      <c r="I161" s="357">
        <f t="shared" si="203"/>
        <v>16545724.5375</v>
      </c>
      <c r="J161" s="357">
        <f t="shared" si="204"/>
        <v>16628453.1601875</v>
      </c>
      <c r="K161" s="357">
        <f t="shared" si="205"/>
        <v>16711595.425988438</v>
      </c>
      <c r="L161" s="357">
        <f t="shared" si="206"/>
        <v>16795153.403118379</v>
      </c>
      <c r="M161" s="357">
        <f t="shared" si="207"/>
        <v>16879129.170133971</v>
      </c>
      <c r="N161" s="357">
        <f>(M161*0.5%)+M161+331511.99</f>
        <v>17295036.805984639</v>
      </c>
      <c r="O161" s="357">
        <f t="shared" si="208"/>
        <v>150000000.00291294</v>
      </c>
      <c r="P161" s="361">
        <v>150000000</v>
      </c>
      <c r="Q161" s="252"/>
      <c r="R161" s="252"/>
      <c r="S161" s="252"/>
      <c r="T161" s="239"/>
      <c r="U161" s="239"/>
      <c r="V161" s="239"/>
      <c r="W161" s="239"/>
      <c r="X161" s="239"/>
      <c r="Y161" s="239"/>
      <c r="Z161" s="239"/>
      <c r="AA161" s="239"/>
      <c r="AB161" s="239"/>
      <c r="AC161" s="239"/>
    </row>
    <row r="162" spans="1:29" ht="15" customHeight="1">
      <c r="A162" s="219" t="s">
        <v>832</v>
      </c>
      <c r="B162" s="377" t="s">
        <v>833</v>
      </c>
      <c r="C162" s="379">
        <f>SUM(C163:C171)</f>
        <v>0</v>
      </c>
      <c r="D162" s="379" cm="1">
        <f t="array" ref="D162">SUM(D163:D171)</f>
        <v>7808663</v>
      </c>
      <c r="E162" s="379" cm="1">
        <f t="array" ref="E162">SUM(E163:E171)</f>
        <v>93747800</v>
      </c>
      <c r="F162" s="378" cm="1">
        <f t="array" ref="F162">SUM(F163:F171)</f>
        <v>133900000</v>
      </c>
      <c r="G162" s="220" cm="1">
        <f t="array" ref="G162">SUM(G163:G171)</f>
        <v>134569500</v>
      </c>
      <c r="H162" s="220" cm="1">
        <f t="array" ref="H162">SUM(H163:H171)</f>
        <v>135242347.5</v>
      </c>
      <c r="I162" s="220" cm="1">
        <f t="array" ref="I162">SUM(I163:I171)</f>
        <v>135918559.23750004</v>
      </c>
      <c r="J162" s="220" cm="1">
        <f t="array" ref="J162">SUM(J163:J171)</f>
        <v>136598152.0336875</v>
      </c>
      <c r="K162" s="220" cm="1">
        <f t="array" ref="K162">SUM(K163:K171)</f>
        <v>137281142.79385594</v>
      </c>
      <c r="L162" s="220" cm="1">
        <f t="array" ref="L162">SUM(L163:L171)</f>
        <v>137967548.50782523</v>
      </c>
      <c r="M162" s="220" cm="1">
        <f t="array" ref="M162">SUM(M163:M171)</f>
        <v>138657386.25036436</v>
      </c>
      <c r="N162" s="220" cm="1">
        <f t="array" ref="N162">SUM(N163:N171)</f>
        <v>140308900.67161617</v>
      </c>
      <c r="O162" s="220" cm="1">
        <f t="array" ref="O162">SUM(C162:N162)</f>
        <v>1331999999.9948492</v>
      </c>
      <c r="P162" s="243"/>
      <c r="Q162" s="239"/>
      <c r="R162" s="252"/>
      <c r="S162" s="252"/>
      <c r="T162" s="239"/>
      <c r="U162" s="239"/>
      <c r="V162" s="239"/>
      <c r="W162" s="239"/>
      <c r="X162" s="239"/>
      <c r="Y162" s="239"/>
      <c r="Z162" s="239"/>
      <c r="AA162" s="239"/>
      <c r="AB162" s="239"/>
      <c r="AC162" s="239"/>
    </row>
    <row r="163" spans="1:29" ht="16.5" customHeight="1">
      <c r="A163" s="347" t="s">
        <v>834</v>
      </c>
      <c r="B163" s="375" t="s">
        <v>835</v>
      </c>
      <c r="C163" s="357"/>
      <c r="D163" s="358">
        <v>7808663</v>
      </c>
      <c r="E163" s="358">
        <v>84112300</v>
      </c>
      <c r="F163" s="376">
        <v>88000000</v>
      </c>
      <c r="G163" s="357">
        <f t="shared" ref="G163" si="210">(F163*0.5%)+F163</f>
        <v>88440000</v>
      </c>
      <c r="H163" s="357">
        <f t="shared" ref="H163" si="211">(G163*0.5%)+G163</f>
        <v>88882200</v>
      </c>
      <c r="I163" s="357">
        <f t="shared" ref="I163" si="212">(H163*0.5%)+H163</f>
        <v>89326611</v>
      </c>
      <c r="J163" s="357">
        <f t="shared" ref="J163" si="213">(I163*(0.5%)+I163)</f>
        <v>89773244.055000007</v>
      </c>
      <c r="K163" s="357">
        <f t="shared" ref="K163" si="214">(J163*0.5%)+J163</f>
        <v>90222110.275275007</v>
      </c>
      <c r="L163" s="357">
        <f t="shared" ref="L163" si="215">(K163*0.5%)+K163</f>
        <v>90673220.826651379</v>
      </c>
      <c r="M163" s="357">
        <f t="shared" ref="M163" si="216">(L163*0.5%)+L163</f>
        <v>91126586.930784643</v>
      </c>
      <c r="N163" s="357">
        <f>(M163*0.5%)+M163+52844.05</f>
        <v>91635063.915438563</v>
      </c>
      <c r="O163" s="357">
        <f t="shared" ref="O163" si="217">SUM(C163:N163)</f>
        <v>900000000.00314963</v>
      </c>
      <c r="P163" s="374">
        <v>900000000</v>
      </c>
      <c r="Q163" s="252"/>
      <c r="R163" s="252"/>
      <c r="S163" s="252"/>
      <c r="T163" s="239"/>
      <c r="U163" s="239"/>
      <c r="V163" s="239"/>
      <c r="W163" s="239"/>
      <c r="X163" s="239"/>
      <c r="Y163" s="239"/>
      <c r="Z163" s="239"/>
      <c r="AA163" s="239"/>
      <c r="AB163" s="239"/>
      <c r="AC163" s="239"/>
    </row>
    <row r="164" spans="1:29" ht="16.5" customHeight="1">
      <c r="A164" s="210" t="s">
        <v>836</v>
      </c>
      <c r="B164" s="375" t="s">
        <v>837</v>
      </c>
      <c r="C164" s="357"/>
      <c r="D164" s="357"/>
      <c r="E164" s="357"/>
      <c r="F164" s="376">
        <v>5450000</v>
      </c>
      <c r="G164" s="357">
        <f t="shared" ref="G164:G171" si="218">(F164*0.5%)+F164</f>
        <v>5477250</v>
      </c>
      <c r="H164" s="357">
        <f t="shared" ref="H164:H171" si="219">(G164*0.5%)+G164</f>
        <v>5504636.25</v>
      </c>
      <c r="I164" s="357">
        <f t="shared" ref="I164:I171" si="220">(H164*0.5%)+H164</f>
        <v>5532159.4312500004</v>
      </c>
      <c r="J164" s="357">
        <f t="shared" ref="J164:J171" si="221">(I164*(0.5%)+I164)</f>
        <v>5559820.2284062505</v>
      </c>
      <c r="K164" s="357">
        <f t="shared" ref="K164:K171" si="222">(J164*0.5%)+J164</f>
        <v>5587619.3295482816</v>
      </c>
      <c r="L164" s="357">
        <f t="shared" ref="L164:L171" si="223">(K164*0.5%)+K164</f>
        <v>5615557.4261960229</v>
      </c>
      <c r="M164" s="357">
        <f t="shared" ref="M164:M171" si="224">(L164*0.5%)+L164</f>
        <v>5643635.2133270027</v>
      </c>
      <c r="N164" s="357">
        <f>(M164*0.5%)+M164-42531.27</f>
        <v>5629322.1193936383</v>
      </c>
      <c r="O164" s="357">
        <f t="shared" ref="O164:O171" si="225">SUM(C164:N164)</f>
        <v>49999999.998121195</v>
      </c>
      <c r="P164" s="361">
        <v>50000000</v>
      </c>
      <c r="Q164" s="252"/>
      <c r="R164" s="252"/>
      <c r="S164" s="252"/>
      <c r="T164" s="239"/>
      <c r="U164" s="239"/>
      <c r="V164" s="239"/>
      <c r="W164" s="239"/>
      <c r="X164" s="239"/>
      <c r="Y164" s="239"/>
      <c r="Z164" s="239"/>
      <c r="AA164" s="239"/>
      <c r="AB164" s="239"/>
      <c r="AC164" s="239"/>
    </row>
    <row r="165" spans="1:29" ht="16.5" customHeight="1">
      <c r="A165" s="210" t="s">
        <v>1274</v>
      </c>
      <c r="B165" s="375" t="s">
        <v>1275</v>
      </c>
      <c r="C165" s="357"/>
      <c r="D165" s="357"/>
      <c r="E165" s="357"/>
      <c r="F165" s="376">
        <v>1080000</v>
      </c>
      <c r="G165" s="357">
        <f t="shared" si="218"/>
        <v>1085400</v>
      </c>
      <c r="H165" s="357">
        <f t="shared" si="219"/>
        <v>1090827</v>
      </c>
      <c r="I165" s="357">
        <f t="shared" si="220"/>
        <v>1096281.135</v>
      </c>
      <c r="J165" s="357">
        <f t="shared" si="221"/>
        <v>1101762.5406750001</v>
      </c>
      <c r="K165" s="357">
        <f t="shared" si="222"/>
        <v>1107271.3533783751</v>
      </c>
      <c r="L165" s="357">
        <f t="shared" si="223"/>
        <v>1112807.710145267</v>
      </c>
      <c r="M165" s="357">
        <f t="shared" si="224"/>
        <v>1118371.7486959933</v>
      </c>
      <c r="N165" s="357">
        <f>(M165*0.5%)+M165+83314.9</f>
        <v>1207278.5074394732</v>
      </c>
      <c r="O165" s="357">
        <f t="shared" si="225"/>
        <v>9999999.9953341093</v>
      </c>
      <c r="P165" s="361">
        <v>10000000</v>
      </c>
      <c r="Q165" s="252"/>
      <c r="R165" s="252"/>
      <c r="S165" s="252"/>
      <c r="T165" s="239"/>
      <c r="U165" s="239"/>
      <c r="V165" s="239"/>
      <c r="W165" s="239"/>
      <c r="X165" s="239"/>
      <c r="Y165" s="239"/>
      <c r="Z165" s="239"/>
      <c r="AA165" s="239"/>
      <c r="AB165" s="239"/>
      <c r="AC165" s="239"/>
    </row>
    <row r="166" spans="1:29" ht="16.5" customHeight="1">
      <c r="A166" s="210" t="s">
        <v>838</v>
      </c>
      <c r="B166" s="375" t="s">
        <v>839</v>
      </c>
      <c r="C166" s="357"/>
      <c r="D166" s="357"/>
      <c r="E166" s="358">
        <v>9635500</v>
      </c>
      <c r="F166" s="376">
        <v>4350000</v>
      </c>
      <c r="G166" s="357">
        <f t="shared" si="218"/>
        <v>4371750</v>
      </c>
      <c r="H166" s="357">
        <f t="shared" si="219"/>
        <v>4393608.75</v>
      </c>
      <c r="I166" s="357">
        <f t="shared" si="220"/>
        <v>4415576.7937500002</v>
      </c>
      <c r="J166" s="357">
        <f t="shared" si="221"/>
        <v>4437654.6777187502</v>
      </c>
      <c r="K166" s="357">
        <f t="shared" si="222"/>
        <v>4459842.9511073437</v>
      </c>
      <c r="L166" s="357">
        <f t="shared" si="223"/>
        <v>4482142.1658628806</v>
      </c>
      <c r="M166" s="357">
        <f t="shared" si="224"/>
        <v>4504552.8766921954</v>
      </c>
      <c r="N166" s="357">
        <f>(M166*0.5%)+M166+422296.14</f>
        <v>4949371.7810756564</v>
      </c>
      <c r="O166" s="357">
        <f t="shared" si="225"/>
        <v>49999999.996206827</v>
      </c>
      <c r="P166" s="361">
        <v>50000000</v>
      </c>
      <c r="Q166" s="252"/>
      <c r="R166" s="252"/>
      <c r="S166" s="252"/>
      <c r="T166" s="239"/>
      <c r="U166" s="239"/>
      <c r="V166" s="239"/>
      <c r="W166" s="239"/>
      <c r="X166" s="239"/>
      <c r="Y166" s="239"/>
      <c r="Z166" s="239"/>
      <c r="AA166" s="239"/>
      <c r="AB166" s="239"/>
      <c r="AC166" s="239"/>
    </row>
    <row r="167" spans="1:29" ht="16.5" customHeight="1">
      <c r="A167" s="210" t="s">
        <v>840</v>
      </c>
      <c r="B167" s="375" t="s">
        <v>841</v>
      </c>
      <c r="C167" s="357"/>
      <c r="D167" s="357"/>
      <c r="E167" s="357"/>
      <c r="F167" s="376">
        <v>19580000</v>
      </c>
      <c r="G167" s="357">
        <f t="shared" si="218"/>
        <v>19677900</v>
      </c>
      <c r="H167" s="357">
        <f t="shared" si="219"/>
        <v>19776289.5</v>
      </c>
      <c r="I167" s="357">
        <f t="shared" si="220"/>
        <v>19875170.947500002</v>
      </c>
      <c r="J167" s="357">
        <f t="shared" si="221"/>
        <v>19974546.802237503</v>
      </c>
      <c r="K167" s="357">
        <f t="shared" si="222"/>
        <v>20074419.536248691</v>
      </c>
      <c r="L167" s="357">
        <f t="shared" si="223"/>
        <v>20174791.633929934</v>
      </c>
      <c r="M167" s="357">
        <f t="shared" si="224"/>
        <v>20275665.592099585</v>
      </c>
      <c r="N167" s="357">
        <f>(M167*0.5%)+M167+214172.07</f>
        <v>20591215.990060084</v>
      </c>
      <c r="O167" s="357">
        <f t="shared" si="225"/>
        <v>180000000.00207579</v>
      </c>
      <c r="P167" s="361">
        <v>180000000</v>
      </c>
      <c r="Q167" s="252"/>
      <c r="R167" s="252"/>
      <c r="S167" s="252"/>
      <c r="T167" s="239"/>
      <c r="U167" s="239"/>
      <c r="V167" s="239"/>
      <c r="W167" s="239"/>
      <c r="X167" s="239"/>
      <c r="Y167" s="239"/>
      <c r="Z167" s="239"/>
      <c r="AA167" s="239"/>
      <c r="AB167" s="239"/>
      <c r="AC167" s="239"/>
    </row>
    <row r="168" spans="1:29" ht="16.5" customHeight="1">
      <c r="A168" s="210" t="s">
        <v>840</v>
      </c>
      <c r="B168" s="375" t="s">
        <v>1276</v>
      </c>
      <c r="C168" s="357"/>
      <c r="D168" s="357"/>
      <c r="E168" s="357"/>
      <c r="F168" s="376">
        <v>4350000</v>
      </c>
      <c r="G168" s="357">
        <f t="shared" si="218"/>
        <v>4371750</v>
      </c>
      <c r="H168" s="357">
        <f t="shared" si="219"/>
        <v>4393608.75</v>
      </c>
      <c r="I168" s="357">
        <f t="shared" si="220"/>
        <v>4415576.7937500002</v>
      </c>
      <c r="J168" s="357">
        <f t="shared" si="221"/>
        <v>4437654.6777187502</v>
      </c>
      <c r="K168" s="357">
        <f t="shared" si="222"/>
        <v>4459842.9511073437</v>
      </c>
      <c r="L168" s="357">
        <f t="shared" si="223"/>
        <v>4482142.1658628806</v>
      </c>
      <c r="M168" s="357">
        <f t="shared" si="224"/>
        <v>4504552.8766921954</v>
      </c>
      <c r="N168" s="357">
        <f>(M168*0.5%)+M168+57796.14</f>
        <v>4584871.7810756564</v>
      </c>
      <c r="O168" s="357">
        <f t="shared" si="225"/>
        <v>39999999.996206827</v>
      </c>
      <c r="P168" s="361">
        <v>40000000</v>
      </c>
      <c r="Q168" s="252"/>
      <c r="R168" s="252"/>
      <c r="S168" s="252"/>
      <c r="T168" s="239"/>
      <c r="U168" s="239"/>
      <c r="V168" s="239"/>
      <c r="W168" s="239"/>
      <c r="X168" s="239"/>
      <c r="Y168" s="239"/>
      <c r="Z168" s="239"/>
      <c r="AA168" s="239"/>
      <c r="AB168" s="239"/>
      <c r="AC168" s="239"/>
    </row>
    <row r="169" spans="1:29" ht="16.5" customHeight="1">
      <c r="A169" s="210" t="s">
        <v>1277</v>
      </c>
      <c r="B169" s="375" t="s">
        <v>1278</v>
      </c>
      <c r="C169" s="357"/>
      <c r="D169" s="357"/>
      <c r="E169" s="357"/>
      <c r="F169" s="376">
        <v>8700000</v>
      </c>
      <c r="G169" s="357">
        <f t="shared" si="218"/>
        <v>8743500</v>
      </c>
      <c r="H169" s="357">
        <f t="shared" si="219"/>
        <v>8787217.5</v>
      </c>
      <c r="I169" s="357">
        <f t="shared" si="220"/>
        <v>8831153.5875000004</v>
      </c>
      <c r="J169" s="357">
        <f t="shared" si="221"/>
        <v>8875309.3554375004</v>
      </c>
      <c r="K169" s="357">
        <f t="shared" si="222"/>
        <v>8919685.9022146873</v>
      </c>
      <c r="L169" s="357">
        <f t="shared" si="223"/>
        <v>8964284.3317257613</v>
      </c>
      <c r="M169" s="357">
        <f t="shared" si="224"/>
        <v>9009105.7533843908</v>
      </c>
      <c r="N169" s="357">
        <f>(M169*0.5%)+M169+115592.29</f>
        <v>9169743.5721513126</v>
      </c>
      <c r="O169" s="357">
        <f t="shared" si="225"/>
        <v>80000000.00241366</v>
      </c>
      <c r="P169" s="361">
        <v>80000000</v>
      </c>
      <c r="Q169" s="252"/>
      <c r="R169" s="252"/>
      <c r="S169" s="252"/>
      <c r="T169" s="239"/>
      <c r="U169" s="239"/>
      <c r="V169" s="239"/>
      <c r="W169" s="239"/>
      <c r="X169" s="239"/>
      <c r="Y169" s="239"/>
      <c r="Z169" s="239"/>
      <c r="AA169" s="239"/>
      <c r="AB169" s="239"/>
      <c r="AC169" s="239"/>
    </row>
    <row r="170" spans="1:29" ht="16.5" customHeight="1">
      <c r="A170" s="210" t="s">
        <v>1279</v>
      </c>
      <c r="B170" s="375" t="s">
        <v>1280</v>
      </c>
      <c r="C170" s="357"/>
      <c r="D170" s="357"/>
      <c r="E170" s="357"/>
      <c r="F170" s="376">
        <v>210000</v>
      </c>
      <c r="G170" s="357">
        <f t="shared" si="218"/>
        <v>211050</v>
      </c>
      <c r="H170" s="357">
        <f t="shared" si="219"/>
        <v>212105.25</v>
      </c>
      <c r="I170" s="357">
        <f t="shared" si="220"/>
        <v>213165.77625</v>
      </c>
      <c r="J170" s="357">
        <f t="shared" si="221"/>
        <v>214231.60513124999</v>
      </c>
      <c r="K170" s="357">
        <f t="shared" si="222"/>
        <v>215302.76315690624</v>
      </c>
      <c r="L170" s="357">
        <f t="shared" si="223"/>
        <v>216379.27697269077</v>
      </c>
      <c r="M170" s="357">
        <f t="shared" si="224"/>
        <v>217461.17335755422</v>
      </c>
      <c r="N170" s="357">
        <f>(M170*0.5%)+M170+71755.68</f>
        <v>290304.15922434197</v>
      </c>
      <c r="O170" s="357">
        <f t="shared" si="225"/>
        <v>2000000.0040927432</v>
      </c>
      <c r="P170" s="361">
        <v>2000000</v>
      </c>
      <c r="Q170" s="252"/>
      <c r="R170" s="252"/>
      <c r="S170" s="252"/>
      <c r="T170" s="239"/>
      <c r="U170" s="239"/>
      <c r="V170" s="239"/>
      <c r="W170" s="239"/>
      <c r="X170" s="239"/>
      <c r="Y170" s="239"/>
      <c r="Z170" s="239"/>
      <c r="AA170" s="239"/>
      <c r="AB170" s="239"/>
      <c r="AC170" s="239"/>
    </row>
    <row r="171" spans="1:29" ht="16.5" customHeight="1">
      <c r="A171" s="210" t="s">
        <v>1281</v>
      </c>
      <c r="B171" s="375" t="s">
        <v>1282</v>
      </c>
      <c r="C171" s="357"/>
      <c r="D171" s="357"/>
      <c r="E171" s="357"/>
      <c r="F171" s="376">
        <v>2180000</v>
      </c>
      <c r="G171" s="357">
        <f t="shared" si="218"/>
        <v>2190900</v>
      </c>
      <c r="H171" s="357">
        <f t="shared" si="219"/>
        <v>2201854.5</v>
      </c>
      <c r="I171" s="357">
        <f t="shared" si="220"/>
        <v>2212863.7725</v>
      </c>
      <c r="J171" s="357">
        <f t="shared" si="221"/>
        <v>2223928.0913625001</v>
      </c>
      <c r="K171" s="357">
        <f t="shared" si="222"/>
        <v>2235047.7318193126</v>
      </c>
      <c r="L171" s="357">
        <f t="shared" si="223"/>
        <v>2246222.970478409</v>
      </c>
      <c r="M171" s="357">
        <f t="shared" si="224"/>
        <v>2257454.0853308011</v>
      </c>
      <c r="N171" s="357">
        <f>(M171*0.5%)+M171-17012.51</f>
        <v>2251728.8457574551</v>
      </c>
      <c r="O171" s="357">
        <f t="shared" si="225"/>
        <v>19999999.997248478</v>
      </c>
      <c r="P171" s="361">
        <v>20000000</v>
      </c>
      <c r="Q171" s="252"/>
      <c r="R171" s="252"/>
      <c r="S171" s="252"/>
      <c r="T171" s="239"/>
      <c r="U171" s="239"/>
      <c r="V171" s="239"/>
      <c r="W171" s="239"/>
      <c r="X171" s="239"/>
      <c r="Y171" s="239"/>
      <c r="Z171" s="239"/>
      <c r="AA171" s="239"/>
      <c r="AB171" s="239"/>
      <c r="AC171" s="239"/>
    </row>
    <row r="172" spans="1:29" ht="15" customHeight="1">
      <c r="A172" s="219" t="s">
        <v>842</v>
      </c>
      <c r="B172" s="377" t="s">
        <v>843</v>
      </c>
      <c r="C172" s="379">
        <f>SUM(C173:C175)</f>
        <v>0</v>
      </c>
      <c r="D172" s="379" cm="1">
        <f t="array" ref="D172">SUM(D173:D175)</f>
        <v>16823104.300000001</v>
      </c>
      <c r="E172" s="379" cm="1">
        <f t="array" ref="E172">SUM(E173:E175)</f>
        <v>1112000</v>
      </c>
      <c r="F172" s="378" cm="1">
        <f t="array" ref="F172">SUM(F173:F175)</f>
        <v>4985110</v>
      </c>
      <c r="G172" s="220" cm="1">
        <f t="array" ref="G172">SUM(G173:G175)</f>
        <v>5010035.55</v>
      </c>
      <c r="H172" s="220" cm="1">
        <f t="array" ref="H172">SUM(H173:H175)</f>
        <v>5035085.7277499996</v>
      </c>
      <c r="I172" s="220" cm="1">
        <f t="array" ref="I172">SUM(I173:I175)</f>
        <v>5060261.1563887503</v>
      </c>
      <c r="J172" s="220" cm="1">
        <f t="array" ref="J172">SUM(J173:J175)</f>
        <v>5085562.462170694</v>
      </c>
      <c r="K172" s="220" cm="1">
        <f t="array" ref="K172">SUM(K173:K175)</f>
        <v>5110990.2744815461</v>
      </c>
      <c r="L172" s="220" cm="1">
        <f t="array" ref="L172">SUM(L173:L175)</f>
        <v>5136545.2258539535</v>
      </c>
      <c r="M172" s="220" cm="1">
        <f t="array" ref="M172">SUM(M173:M175)</f>
        <v>5162227.9519832227</v>
      </c>
      <c r="N172" s="220" cm="1">
        <f t="array" ref="N172">SUM(N173:N175)</f>
        <v>5480077.3517431403</v>
      </c>
      <c r="O172" s="220" cm="1">
        <f t="array" ref="O172">SUM(C172:N172)</f>
        <v>64001000.000371307</v>
      </c>
      <c r="P172" s="243"/>
      <c r="Q172" s="239"/>
      <c r="R172" s="252"/>
      <c r="S172" s="252"/>
      <c r="T172" s="239"/>
      <c r="U172" s="239"/>
      <c r="V172" s="239"/>
      <c r="W172" s="239"/>
      <c r="X172" s="239"/>
      <c r="Y172" s="239"/>
      <c r="Z172" s="239"/>
      <c r="AA172" s="239"/>
      <c r="AB172" s="239"/>
      <c r="AC172" s="239"/>
    </row>
    <row r="173" spans="1:29" ht="16.5" customHeight="1">
      <c r="A173" s="210" t="s">
        <v>844</v>
      </c>
      <c r="B173" s="375" t="s">
        <v>845</v>
      </c>
      <c r="C173" s="357"/>
      <c r="D173" s="358">
        <v>16823104.300000001</v>
      </c>
      <c r="E173" s="357"/>
      <c r="F173" s="376">
        <v>3580000</v>
      </c>
      <c r="G173" s="357">
        <f t="shared" ref="G173:G175" si="226">(F173*0.5%)+F173</f>
        <v>3597900</v>
      </c>
      <c r="H173" s="357">
        <f t="shared" ref="H173:H175" si="227">(G173*0.5%)+G173</f>
        <v>3615889.5</v>
      </c>
      <c r="I173" s="357">
        <f t="shared" ref="I173:I175" si="228">(H173*0.5%)+H173</f>
        <v>3633968.9474999998</v>
      </c>
      <c r="J173" s="357">
        <f t="shared" ref="J173:J175" si="229">(I173*(0.5%)+I173)</f>
        <v>3652138.7922374997</v>
      </c>
      <c r="K173" s="357">
        <f t="shared" ref="K173:K175" si="230">(J173*0.5%)+J173</f>
        <v>3670399.486198687</v>
      </c>
      <c r="L173" s="357">
        <f t="shared" ref="L173:L175" si="231">(K173*0.5%)+K173</f>
        <v>3688751.4836296802</v>
      </c>
      <c r="M173" s="357">
        <f t="shared" ref="M173:M175" si="232">(L173*0.5%)+L173</f>
        <v>3707195.2410478285</v>
      </c>
      <c r="N173" s="357">
        <f>(M173*0.5%)+M173+304921.03</f>
        <v>4030652.2472530678</v>
      </c>
      <c r="O173" s="357">
        <f t="shared" ref="O173:O175" si="233">SUM(C173:N173)</f>
        <v>49999999.997866765</v>
      </c>
      <c r="P173" s="361">
        <v>50000000</v>
      </c>
      <c r="Q173" s="252"/>
      <c r="R173" s="252"/>
      <c r="S173" s="252"/>
      <c r="T173" s="239"/>
      <c r="U173" s="239"/>
      <c r="V173" s="239"/>
      <c r="W173" s="239"/>
      <c r="X173" s="239"/>
      <c r="Y173" s="239"/>
      <c r="Z173" s="239"/>
      <c r="AA173" s="239"/>
      <c r="AB173" s="239"/>
      <c r="AC173" s="239"/>
    </row>
    <row r="174" spans="1:29" ht="16.5" customHeight="1">
      <c r="A174" s="210" t="s">
        <v>846</v>
      </c>
      <c r="B174" s="375" t="s">
        <v>847</v>
      </c>
      <c r="C174" s="357"/>
      <c r="D174" s="357"/>
      <c r="E174" s="358">
        <v>1112000</v>
      </c>
      <c r="F174" s="376">
        <v>1405000</v>
      </c>
      <c r="G174" s="357">
        <f t="shared" si="226"/>
        <v>1412025</v>
      </c>
      <c r="H174" s="357">
        <f t="shared" si="227"/>
        <v>1419085.125</v>
      </c>
      <c r="I174" s="357">
        <f t="shared" si="228"/>
        <v>1426180.5506249999</v>
      </c>
      <c r="J174" s="357">
        <f t="shared" si="229"/>
        <v>1433311.4533781249</v>
      </c>
      <c r="K174" s="357">
        <f t="shared" si="230"/>
        <v>1440478.0106450154</v>
      </c>
      <c r="L174" s="357">
        <f t="shared" si="231"/>
        <v>1447680.4006982404</v>
      </c>
      <c r="M174" s="357">
        <f t="shared" si="232"/>
        <v>1454918.8027017317</v>
      </c>
      <c r="N174" s="357">
        <f>(M174*0.5%)+M174-12872.74</f>
        <v>1449320.6567152403</v>
      </c>
      <c r="O174" s="357">
        <f t="shared" si="233"/>
        <v>13999999.999763355</v>
      </c>
      <c r="P174" s="361">
        <v>14000000</v>
      </c>
      <c r="Q174" s="252"/>
      <c r="R174" s="252"/>
      <c r="S174" s="252"/>
      <c r="T174" s="239"/>
      <c r="U174" s="239"/>
      <c r="V174" s="239"/>
      <c r="W174" s="239"/>
      <c r="X174" s="239"/>
      <c r="Y174" s="239"/>
      <c r="Z174" s="239"/>
      <c r="AA174" s="239"/>
      <c r="AB174" s="239"/>
      <c r="AC174" s="239"/>
    </row>
    <row r="175" spans="1:29" ht="16.5" customHeight="1">
      <c r="A175" s="210" t="s">
        <v>848</v>
      </c>
      <c r="B175" s="375" t="s">
        <v>849</v>
      </c>
      <c r="C175" s="357"/>
      <c r="D175" s="357"/>
      <c r="E175" s="357"/>
      <c r="F175" s="376">
        <v>110</v>
      </c>
      <c r="G175" s="357">
        <f t="shared" si="226"/>
        <v>110.55</v>
      </c>
      <c r="H175" s="357">
        <f t="shared" si="227"/>
        <v>111.10275</v>
      </c>
      <c r="I175" s="357">
        <f t="shared" si="228"/>
        <v>111.65826375</v>
      </c>
      <c r="J175" s="357">
        <f t="shared" si="229"/>
        <v>112.21655506875</v>
      </c>
      <c r="K175" s="357">
        <f t="shared" si="230"/>
        <v>112.77763784409375</v>
      </c>
      <c r="L175" s="357">
        <f t="shared" si="231"/>
        <v>113.34152603331421</v>
      </c>
      <c r="M175" s="357">
        <f t="shared" si="232"/>
        <v>113.90823366348079</v>
      </c>
      <c r="N175" s="357">
        <f>(M175*0.5%)+M175-10.03</f>
        <v>104.44777483179818</v>
      </c>
      <c r="O175" s="357">
        <f t="shared" si="233"/>
        <v>1000.0027411914371</v>
      </c>
      <c r="P175" s="361">
        <v>1000</v>
      </c>
      <c r="Q175" s="252"/>
      <c r="R175" s="252"/>
      <c r="S175" s="252"/>
      <c r="T175" s="239"/>
      <c r="U175" s="239"/>
      <c r="V175" s="239"/>
      <c r="W175" s="239"/>
      <c r="X175" s="239"/>
      <c r="Y175" s="239"/>
      <c r="Z175" s="239"/>
      <c r="AA175" s="239"/>
      <c r="AB175" s="239"/>
      <c r="AC175" s="239"/>
    </row>
    <row r="176" spans="1:29" ht="15" customHeight="1">
      <c r="A176" s="219" t="s">
        <v>850</v>
      </c>
      <c r="B176" s="377" t="s">
        <v>1283</v>
      </c>
      <c r="C176" s="379">
        <f>SUM(C177:C189)</f>
        <v>12232383.940000001</v>
      </c>
      <c r="D176" s="379" cm="1">
        <f t="array" ref="D176">SUM(D177:D189)</f>
        <v>28457495.940000001</v>
      </c>
      <c r="E176" s="379" cm="1">
        <f t="array" ref="E176">SUM(E177:E189)</f>
        <v>46491714.469999999</v>
      </c>
      <c r="F176" s="378" cm="1">
        <f t="array" ref="F176">SUM(F177:F189)</f>
        <v>211820000</v>
      </c>
      <c r="G176" s="220" cm="1">
        <f t="array" ref="G176">SUM(G177:G189)</f>
        <v>212879100</v>
      </c>
      <c r="H176" s="220" cm="1">
        <f t="array" ref="H176">SUM(H177:H189)</f>
        <v>213943495.5</v>
      </c>
      <c r="I176" s="220" cm="1">
        <f t="array" ref="I176">SUM(I177:I189)</f>
        <v>215013212.97749999</v>
      </c>
      <c r="J176" s="220" cm="1">
        <f t="array" ref="J176">SUM(J177:J189)</f>
        <v>216088279.04238749</v>
      </c>
      <c r="K176" s="220" cm="1">
        <f t="array" ref="K176">SUM(K177:K189)</f>
        <v>217168720.43759942</v>
      </c>
      <c r="L176" s="220" cm="1">
        <f t="array" ref="L176">SUM(L177:L189)</f>
        <v>218254564.03978747</v>
      </c>
      <c r="M176" s="220" cm="1">
        <f t="array" ref="M176">SUM(M177:M189)</f>
        <v>219345836.85998639</v>
      </c>
      <c r="N176" s="220" cm="1">
        <f t="array" ref="N176">SUM(N177:N189)</f>
        <v>222305196.78428632</v>
      </c>
      <c r="O176" s="220" cm="1">
        <f t="array" ref="O176">SUM(C176:N176)</f>
        <v>2033999999.9915469</v>
      </c>
      <c r="P176" s="243"/>
      <c r="Q176" s="239"/>
      <c r="R176" s="252"/>
      <c r="S176" s="252"/>
      <c r="T176" s="239"/>
      <c r="U176" s="239"/>
      <c r="V176" s="239"/>
      <c r="W176" s="239"/>
      <c r="X176" s="239"/>
      <c r="Y176" s="239"/>
      <c r="Z176" s="239"/>
      <c r="AA176" s="239"/>
      <c r="AB176" s="239"/>
      <c r="AC176" s="239"/>
    </row>
    <row r="177" spans="1:29" ht="16.5" customHeight="1">
      <c r="A177" s="210" t="s">
        <v>851</v>
      </c>
      <c r="B177" s="375" t="s">
        <v>852</v>
      </c>
      <c r="C177" s="357"/>
      <c r="D177" s="357"/>
      <c r="E177" s="357"/>
      <c r="F177" s="376">
        <v>10900000</v>
      </c>
      <c r="G177" s="357">
        <f t="shared" ref="G177:G189" si="234">(F177*0.5%)+F177</f>
        <v>10954500</v>
      </c>
      <c r="H177" s="357">
        <f t="shared" ref="H177:H189" si="235">(G177*0.5%)+G177</f>
        <v>11009272.5</v>
      </c>
      <c r="I177" s="357">
        <f t="shared" ref="I177:I189" si="236">(H177*0.5%)+H177</f>
        <v>11064318.862500001</v>
      </c>
      <c r="J177" s="357">
        <f t="shared" ref="J177:J189" si="237">(I177*(0.5%)+I177)</f>
        <v>11119640.456812501</v>
      </c>
      <c r="K177" s="357">
        <f t="shared" ref="K177:K189" si="238">(J177*0.5%)+J177</f>
        <v>11175238.659096563</v>
      </c>
      <c r="L177" s="357">
        <f t="shared" ref="L177:L189" si="239">(K177*0.5%)+K177</f>
        <v>11231114.852392046</v>
      </c>
      <c r="M177" s="357">
        <f t="shared" ref="M177:M189" si="240">(L177*0.5%)+L177</f>
        <v>11287270.426654005</v>
      </c>
      <c r="N177" s="357">
        <f>(M177*0.5%)+M177-85062.54</f>
        <v>11258644.238787277</v>
      </c>
      <c r="O177" s="357">
        <f t="shared" ref="O177:O189" si="241">SUM(C177:N177)</f>
        <v>99999999.996242389</v>
      </c>
      <c r="P177" s="361">
        <v>100000000</v>
      </c>
      <c r="Q177" s="252"/>
      <c r="R177" s="252"/>
      <c r="S177" s="252"/>
      <c r="T177" s="239"/>
      <c r="U177" s="239"/>
      <c r="V177" s="239"/>
      <c r="W177" s="239"/>
      <c r="X177" s="239"/>
      <c r="Y177" s="239"/>
      <c r="Z177" s="239"/>
      <c r="AA177" s="239"/>
      <c r="AB177" s="239"/>
      <c r="AC177" s="239"/>
    </row>
    <row r="178" spans="1:29" ht="16.5" customHeight="1">
      <c r="A178" s="210" t="s">
        <v>853</v>
      </c>
      <c r="B178" s="375" t="s">
        <v>854</v>
      </c>
      <c r="C178" s="357"/>
      <c r="D178" s="357"/>
      <c r="E178" s="357"/>
      <c r="F178" s="376">
        <v>54400000</v>
      </c>
      <c r="G178" s="357">
        <f t="shared" si="234"/>
        <v>54672000</v>
      </c>
      <c r="H178" s="357">
        <f t="shared" si="235"/>
        <v>54945360</v>
      </c>
      <c r="I178" s="357">
        <f t="shared" si="236"/>
        <v>55220086.799999997</v>
      </c>
      <c r="J178" s="357">
        <f t="shared" si="237"/>
        <v>55496187.233999997</v>
      </c>
      <c r="K178" s="357">
        <f t="shared" si="238"/>
        <v>55773668.170169994</v>
      </c>
      <c r="L178" s="357">
        <f t="shared" si="239"/>
        <v>56052536.511020847</v>
      </c>
      <c r="M178" s="357">
        <f t="shared" si="240"/>
        <v>56332799.193575948</v>
      </c>
      <c r="N178" s="357">
        <f>(M178*0.5%)+M178+492898.9</f>
        <v>57107362.089543827</v>
      </c>
      <c r="O178" s="357">
        <f t="shared" si="241"/>
        <v>499999999.99831069</v>
      </c>
      <c r="P178" s="361">
        <v>500000000</v>
      </c>
      <c r="Q178" s="252"/>
      <c r="R178" s="252"/>
      <c r="S178" s="252"/>
      <c r="T178" s="239"/>
      <c r="U178" s="239"/>
      <c r="V178" s="239"/>
      <c r="W178" s="239"/>
      <c r="X178" s="239"/>
      <c r="Y178" s="239"/>
      <c r="Z178" s="239"/>
      <c r="AA178" s="239"/>
      <c r="AB178" s="239"/>
      <c r="AC178" s="239"/>
    </row>
    <row r="179" spans="1:29" ht="16.5" customHeight="1">
      <c r="A179" s="210" t="s">
        <v>855</v>
      </c>
      <c r="B179" s="375" t="s">
        <v>856</v>
      </c>
      <c r="C179" s="357"/>
      <c r="D179" s="357"/>
      <c r="E179" s="358">
        <v>4321000</v>
      </c>
      <c r="F179" s="376">
        <v>36550000</v>
      </c>
      <c r="G179" s="357">
        <f t="shared" si="234"/>
        <v>36732750</v>
      </c>
      <c r="H179" s="357">
        <f t="shared" si="235"/>
        <v>36916413.75</v>
      </c>
      <c r="I179" s="357">
        <f t="shared" si="236"/>
        <v>37100995.818750001</v>
      </c>
      <c r="J179" s="357">
        <f t="shared" si="237"/>
        <v>37286500.797843754</v>
      </c>
      <c r="K179" s="357">
        <f t="shared" si="238"/>
        <v>37472933.301832974</v>
      </c>
      <c r="L179" s="357">
        <f t="shared" si="239"/>
        <v>37660297.96834214</v>
      </c>
      <c r="M179" s="357">
        <f t="shared" si="240"/>
        <v>37848599.458183847</v>
      </c>
      <c r="N179" s="357">
        <f>(M179*0.5%)+M179+72666.45</f>
        <v>38110508.905474767</v>
      </c>
      <c r="O179" s="357">
        <f t="shared" si="241"/>
        <v>340000000.00042748</v>
      </c>
      <c r="P179" s="361">
        <v>340000000</v>
      </c>
      <c r="Q179" s="252"/>
      <c r="R179" s="252"/>
      <c r="S179" s="252"/>
      <c r="T179" s="239"/>
      <c r="U179" s="239"/>
      <c r="V179" s="239"/>
      <c r="W179" s="239"/>
      <c r="X179" s="239"/>
      <c r="Y179" s="239"/>
      <c r="Z179" s="239"/>
      <c r="AA179" s="239"/>
      <c r="AB179" s="239"/>
      <c r="AC179" s="239"/>
    </row>
    <row r="180" spans="1:29" ht="16.5" customHeight="1">
      <c r="A180" s="210" t="s">
        <v>857</v>
      </c>
      <c r="B180" s="375" t="s">
        <v>858</v>
      </c>
      <c r="C180" s="357"/>
      <c r="D180" s="357"/>
      <c r="E180" s="357"/>
      <c r="F180" s="376">
        <v>28300000</v>
      </c>
      <c r="G180" s="357">
        <f t="shared" si="234"/>
        <v>28441500</v>
      </c>
      <c r="H180" s="357">
        <f t="shared" si="235"/>
        <v>28583707.5</v>
      </c>
      <c r="I180" s="357">
        <f t="shared" si="236"/>
        <v>28726626.037500001</v>
      </c>
      <c r="J180" s="357">
        <f t="shared" si="237"/>
        <v>28870259.167687502</v>
      </c>
      <c r="K180" s="357">
        <f t="shared" si="238"/>
        <v>29014610.46352594</v>
      </c>
      <c r="L180" s="357">
        <f t="shared" si="239"/>
        <v>29159683.51584357</v>
      </c>
      <c r="M180" s="357">
        <f t="shared" si="240"/>
        <v>29305481.933422789</v>
      </c>
      <c r="N180" s="357">
        <f>(M180*0.5%)+M180+146122.04</f>
        <v>29598131.383089904</v>
      </c>
      <c r="O180" s="357">
        <f t="shared" si="241"/>
        <v>260000000.00106972</v>
      </c>
      <c r="P180" s="361">
        <v>260000000</v>
      </c>
      <c r="Q180" s="252"/>
      <c r="R180" s="252"/>
      <c r="S180" s="252"/>
      <c r="T180" s="239"/>
      <c r="U180" s="239"/>
      <c r="V180" s="239"/>
      <c r="W180" s="239"/>
      <c r="X180" s="239"/>
      <c r="Y180" s="239"/>
      <c r="Z180" s="239"/>
      <c r="AA180" s="239"/>
      <c r="AB180" s="239"/>
      <c r="AC180" s="239"/>
    </row>
    <row r="181" spans="1:29" ht="16.5" customHeight="1">
      <c r="A181" s="210" t="s">
        <v>859</v>
      </c>
      <c r="B181" s="375" t="s">
        <v>860</v>
      </c>
      <c r="C181" s="357"/>
      <c r="D181" s="357"/>
      <c r="E181" s="357"/>
      <c r="F181" s="376">
        <v>4350000</v>
      </c>
      <c r="G181" s="357">
        <f t="shared" si="234"/>
        <v>4371750</v>
      </c>
      <c r="H181" s="357">
        <f t="shared" si="235"/>
        <v>4393608.75</v>
      </c>
      <c r="I181" s="357">
        <f t="shared" si="236"/>
        <v>4415576.7937500002</v>
      </c>
      <c r="J181" s="357">
        <f t="shared" si="237"/>
        <v>4437654.6777187502</v>
      </c>
      <c r="K181" s="357">
        <f t="shared" si="238"/>
        <v>4459842.9511073437</v>
      </c>
      <c r="L181" s="357">
        <f t="shared" si="239"/>
        <v>4482142.1658628806</v>
      </c>
      <c r="M181" s="357">
        <f t="shared" si="240"/>
        <v>4504552.8766921954</v>
      </c>
      <c r="N181" s="357">
        <f>(M181*0.5%)+M181+57796.14</f>
        <v>4584871.7810756564</v>
      </c>
      <c r="O181" s="357">
        <f t="shared" si="241"/>
        <v>39999999.996206827</v>
      </c>
      <c r="P181" s="361">
        <v>40000000</v>
      </c>
      <c r="Q181" s="252"/>
      <c r="R181" s="252"/>
      <c r="S181" s="252"/>
      <c r="T181" s="239"/>
      <c r="U181" s="239"/>
      <c r="V181" s="239"/>
      <c r="W181" s="239"/>
      <c r="X181" s="239"/>
      <c r="Y181" s="239"/>
      <c r="Z181" s="239"/>
      <c r="AA181" s="239"/>
      <c r="AB181" s="239"/>
      <c r="AC181" s="239"/>
    </row>
    <row r="182" spans="1:29" ht="16.5" customHeight="1">
      <c r="A182" s="210" t="s">
        <v>861</v>
      </c>
      <c r="B182" s="375" t="s">
        <v>862</v>
      </c>
      <c r="C182" s="357"/>
      <c r="D182" s="358">
        <v>0</v>
      </c>
      <c r="E182" s="358">
        <v>18829007</v>
      </c>
      <c r="F182" s="376">
        <v>19700000</v>
      </c>
      <c r="G182" s="357">
        <f t="shared" si="234"/>
        <v>19798500</v>
      </c>
      <c r="H182" s="357">
        <f t="shared" si="235"/>
        <v>19897492.5</v>
      </c>
      <c r="I182" s="357">
        <f t="shared" si="236"/>
        <v>19996979.962499999</v>
      </c>
      <c r="J182" s="357">
        <f t="shared" si="237"/>
        <v>20096964.862312499</v>
      </c>
      <c r="K182" s="357">
        <f t="shared" si="238"/>
        <v>20197449.686624061</v>
      </c>
      <c r="L182" s="357">
        <f t="shared" si="239"/>
        <v>20298436.935057182</v>
      </c>
      <c r="M182" s="357">
        <f t="shared" si="240"/>
        <v>20399929.119732469</v>
      </c>
      <c r="N182" s="357">
        <f>(M182*0.5%)+M182+283311.17</f>
        <v>20785239.935331132</v>
      </c>
      <c r="O182" s="357">
        <f t="shared" si="241"/>
        <v>200000000.00155735</v>
      </c>
      <c r="P182" s="361">
        <v>200000000</v>
      </c>
      <c r="Q182" s="252"/>
      <c r="R182" s="252"/>
      <c r="S182" s="252"/>
      <c r="T182" s="239"/>
      <c r="U182" s="239"/>
      <c r="V182" s="239"/>
      <c r="W182" s="239"/>
      <c r="X182" s="239"/>
      <c r="Y182" s="239"/>
      <c r="Z182" s="239"/>
      <c r="AA182" s="239"/>
      <c r="AB182" s="239"/>
      <c r="AC182" s="239"/>
    </row>
    <row r="183" spans="1:29" ht="16.5" customHeight="1">
      <c r="A183" s="210" t="s">
        <v>863</v>
      </c>
      <c r="B183" s="375" t="s">
        <v>864</v>
      </c>
      <c r="C183" s="361">
        <v>5082855.9400000004</v>
      </c>
      <c r="D183" s="358">
        <v>245655.94</v>
      </c>
      <c r="E183" s="358">
        <v>16703643.470000001</v>
      </c>
      <c r="F183" s="376">
        <v>9550000</v>
      </c>
      <c r="G183" s="357">
        <f t="shared" si="234"/>
        <v>9597750</v>
      </c>
      <c r="H183" s="357">
        <f t="shared" si="235"/>
        <v>9645738.75</v>
      </c>
      <c r="I183" s="357">
        <f t="shared" si="236"/>
        <v>9693967.4437499996</v>
      </c>
      <c r="J183" s="357">
        <f t="shared" si="237"/>
        <v>9742437.2809687499</v>
      </c>
      <c r="K183" s="357">
        <f t="shared" si="238"/>
        <v>9791149.4673735928</v>
      </c>
      <c r="L183" s="357">
        <f t="shared" si="239"/>
        <v>9840105.214710461</v>
      </c>
      <c r="M183" s="357">
        <f t="shared" si="240"/>
        <v>9889305.7407840136</v>
      </c>
      <c r="N183" s="357">
        <f>(M183*0.5%)+M183+278638.48</f>
        <v>10217390.749487935</v>
      </c>
      <c r="O183" s="357">
        <f t="shared" si="241"/>
        <v>109999999.99707477</v>
      </c>
      <c r="P183" s="361">
        <v>110000000</v>
      </c>
      <c r="Q183" s="252"/>
      <c r="R183" s="252"/>
      <c r="S183" s="252"/>
      <c r="T183" s="239"/>
      <c r="U183" s="239"/>
      <c r="V183" s="239"/>
      <c r="W183" s="239"/>
      <c r="X183" s="239"/>
      <c r="Y183" s="239"/>
      <c r="Z183" s="239"/>
      <c r="AA183" s="239"/>
      <c r="AB183" s="239"/>
      <c r="AC183" s="239"/>
    </row>
    <row r="184" spans="1:29" ht="16.5" customHeight="1">
      <c r="A184" s="210" t="s">
        <v>865</v>
      </c>
      <c r="B184" s="375" t="s">
        <v>866</v>
      </c>
      <c r="C184" s="357"/>
      <c r="D184" s="357"/>
      <c r="E184" s="357"/>
      <c r="F184" s="376">
        <v>12400000</v>
      </c>
      <c r="G184" s="357">
        <f t="shared" si="234"/>
        <v>12462000</v>
      </c>
      <c r="H184" s="357">
        <f t="shared" si="235"/>
        <v>12524310</v>
      </c>
      <c r="I184" s="357">
        <f t="shared" si="236"/>
        <v>12586931.550000001</v>
      </c>
      <c r="J184" s="357">
        <f t="shared" si="237"/>
        <v>12649866.20775</v>
      </c>
      <c r="K184" s="357">
        <f t="shared" si="238"/>
        <v>12713115.538788751</v>
      </c>
      <c r="L184" s="357">
        <f t="shared" si="239"/>
        <v>12776681.116482694</v>
      </c>
      <c r="M184" s="357">
        <f t="shared" si="240"/>
        <v>12840564.522065107</v>
      </c>
      <c r="N184" s="357">
        <f>(M184*0.5%)+M184+141763.72</f>
        <v>13046531.064675434</v>
      </c>
      <c r="O184" s="357">
        <f t="shared" si="241"/>
        <v>113999999.99976197</v>
      </c>
      <c r="P184" s="361">
        <v>114000000</v>
      </c>
      <c r="Q184" s="252"/>
      <c r="R184" s="252"/>
      <c r="S184" s="252"/>
      <c r="T184" s="239"/>
      <c r="U184" s="239"/>
      <c r="V184" s="239"/>
      <c r="W184" s="239"/>
      <c r="X184" s="239"/>
      <c r="Y184" s="239"/>
      <c r="Z184" s="239"/>
      <c r="AA184" s="239"/>
      <c r="AB184" s="239"/>
      <c r="AC184" s="239"/>
    </row>
    <row r="185" spans="1:29" ht="16.5" customHeight="1">
      <c r="A185" s="210" t="s">
        <v>867</v>
      </c>
      <c r="B185" s="375" t="s">
        <v>868</v>
      </c>
      <c r="C185" s="357"/>
      <c r="D185" s="358">
        <v>22161840</v>
      </c>
      <c r="E185" s="357"/>
      <c r="F185" s="376">
        <v>8460000</v>
      </c>
      <c r="G185" s="357">
        <f t="shared" si="234"/>
        <v>8502300</v>
      </c>
      <c r="H185" s="357">
        <f t="shared" si="235"/>
        <v>8544811.5</v>
      </c>
      <c r="I185" s="357">
        <f t="shared" si="236"/>
        <v>8587535.5574999992</v>
      </c>
      <c r="J185" s="357">
        <f t="shared" si="237"/>
        <v>8630473.2352874987</v>
      </c>
      <c r="K185" s="357">
        <f t="shared" si="238"/>
        <v>8673625.6014639363</v>
      </c>
      <c r="L185" s="357">
        <f t="shared" si="239"/>
        <v>8716993.7294712551</v>
      </c>
      <c r="M185" s="357">
        <f t="shared" si="240"/>
        <v>8760578.6981186122</v>
      </c>
      <c r="N185" s="357">
        <f>(M185*0.5%)+M185+157460.09</f>
        <v>8961841.6816092059</v>
      </c>
      <c r="O185" s="357">
        <f t="shared" si="241"/>
        <v>100000000.00345051</v>
      </c>
      <c r="P185" s="361">
        <v>100000000</v>
      </c>
      <c r="Q185" s="252"/>
      <c r="R185" s="252"/>
      <c r="S185" s="252"/>
      <c r="T185" s="239"/>
      <c r="U185" s="239"/>
      <c r="V185" s="239"/>
      <c r="W185" s="239"/>
      <c r="X185" s="239"/>
      <c r="Y185" s="239"/>
      <c r="Z185" s="239"/>
      <c r="AA185" s="239"/>
      <c r="AB185" s="239"/>
      <c r="AC185" s="239"/>
    </row>
    <row r="186" spans="1:29" ht="16.5" customHeight="1">
      <c r="A186" s="210" t="s">
        <v>869</v>
      </c>
      <c r="B186" s="375" t="s">
        <v>870</v>
      </c>
      <c r="C186" s="357"/>
      <c r="D186" s="357"/>
      <c r="E186" s="357"/>
      <c r="F186" s="376">
        <v>2180000</v>
      </c>
      <c r="G186" s="357">
        <f t="shared" si="234"/>
        <v>2190900</v>
      </c>
      <c r="H186" s="357">
        <f t="shared" si="235"/>
        <v>2201854.5</v>
      </c>
      <c r="I186" s="357">
        <f t="shared" si="236"/>
        <v>2212863.7725</v>
      </c>
      <c r="J186" s="357">
        <f t="shared" si="237"/>
        <v>2223928.0913625001</v>
      </c>
      <c r="K186" s="357">
        <f t="shared" si="238"/>
        <v>2235047.7318193126</v>
      </c>
      <c r="L186" s="357">
        <f t="shared" si="239"/>
        <v>2246222.970478409</v>
      </c>
      <c r="M186" s="357">
        <f t="shared" si="240"/>
        <v>2257454.0853308011</v>
      </c>
      <c r="N186" s="357">
        <f>(M186*0.5%)+M186-17012.51</f>
        <v>2251728.8457574551</v>
      </c>
      <c r="O186" s="357">
        <f t="shared" si="241"/>
        <v>19999999.997248478</v>
      </c>
      <c r="P186" s="361">
        <v>20000000</v>
      </c>
      <c r="Q186" s="252"/>
      <c r="R186" s="252"/>
      <c r="S186" s="252"/>
      <c r="T186" s="239"/>
      <c r="U186" s="239"/>
      <c r="V186" s="239"/>
      <c r="W186" s="239"/>
      <c r="X186" s="239"/>
      <c r="Y186" s="239"/>
      <c r="Z186" s="239"/>
      <c r="AA186" s="239"/>
      <c r="AB186" s="239"/>
      <c r="AC186" s="239"/>
    </row>
    <row r="187" spans="1:29" ht="16.5" customHeight="1">
      <c r="A187" s="210" t="s">
        <v>871</v>
      </c>
      <c r="B187" s="375" t="s">
        <v>872</v>
      </c>
      <c r="C187" s="357"/>
      <c r="D187" s="357"/>
      <c r="E187" s="357"/>
      <c r="F187" s="376">
        <v>3250000</v>
      </c>
      <c r="G187" s="357">
        <f t="shared" si="234"/>
        <v>3266250</v>
      </c>
      <c r="H187" s="357">
        <f t="shared" si="235"/>
        <v>3282581.25</v>
      </c>
      <c r="I187" s="357">
        <f t="shared" si="236"/>
        <v>3298994.15625</v>
      </c>
      <c r="J187" s="357">
        <f t="shared" si="237"/>
        <v>3315489.1270312499</v>
      </c>
      <c r="K187" s="357">
        <f t="shared" si="238"/>
        <v>3332066.5726664062</v>
      </c>
      <c r="L187" s="357">
        <f t="shared" si="239"/>
        <v>3348726.9055297384</v>
      </c>
      <c r="M187" s="357">
        <f t="shared" si="240"/>
        <v>3365470.5400573872</v>
      </c>
      <c r="N187" s="357">
        <f>(M187*0.5%)+M187+158123.56</f>
        <v>3540421.4527576743</v>
      </c>
      <c r="O187" s="357">
        <f t="shared" si="241"/>
        <v>30000000.004292455</v>
      </c>
      <c r="P187" s="361">
        <v>30000000</v>
      </c>
      <c r="Q187" s="252"/>
      <c r="R187" s="252"/>
      <c r="S187" s="252"/>
      <c r="T187" s="239"/>
      <c r="U187" s="239"/>
      <c r="V187" s="239"/>
      <c r="W187" s="239"/>
      <c r="X187" s="239"/>
      <c r="Y187" s="239"/>
      <c r="Z187" s="239"/>
      <c r="AA187" s="239"/>
      <c r="AB187" s="239"/>
      <c r="AC187" s="239"/>
    </row>
    <row r="188" spans="1:29" ht="16.5" customHeight="1">
      <c r="A188" s="210" t="s">
        <v>1284</v>
      </c>
      <c r="B188" s="375" t="s">
        <v>1285</v>
      </c>
      <c r="C188" s="357"/>
      <c r="D188" s="357"/>
      <c r="E188" s="357"/>
      <c r="F188" s="376">
        <v>4350000</v>
      </c>
      <c r="G188" s="357">
        <f t="shared" si="234"/>
        <v>4371750</v>
      </c>
      <c r="H188" s="357">
        <f t="shared" si="235"/>
        <v>4393608.75</v>
      </c>
      <c r="I188" s="357">
        <f t="shared" si="236"/>
        <v>4415576.7937500002</v>
      </c>
      <c r="J188" s="357">
        <f t="shared" si="237"/>
        <v>4437654.6777187502</v>
      </c>
      <c r="K188" s="357">
        <f t="shared" si="238"/>
        <v>4459842.9511073437</v>
      </c>
      <c r="L188" s="357">
        <f t="shared" si="239"/>
        <v>4482142.1658628806</v>
      </c>
      <c r="M188" s="357">
        <f t="shared" si="240"/>
        <v>4504552.8766921954</v>
      </c>
      <c r="N188" s="357">
        <f>(M188*0.5%)+M188+57796.14</f>
        <v>4584871.7810756564</v>
      </c>
      <c r="O188" s="357">
        <f t="shared" si="241"/>
        <v>39999999.996206827</v>
      </c>
      <c r="P188" s="361">
        <v>40000000</v>
      </c>
      <c r="Q188" s="252"/>
      <c r="R188" s="252"/>
      <c r="S188" s="252"/>
      <c r="T188" s="239"/>
      <c r="U188" s="239"/>
      <c r="V188" s="239"/>
      <c r="W188" s="239"/>
      <c r="X188" s="239"/>
      <c r="Y188" s="239"/>
      <c r="Z188" s="239"/>
      <c r="AA188" s="239"/>
      <c r="AB188" s="239"/>
      <c r="AC188" s="239"/>
    </row>
    <row r="189" spans="1:29" ht="16.5" customHeight="1">
      <c r="A189" s="210" t="s">
        <v>873</v>
      </c>
      <c r="B189" s="375" t="s">
        <v>874</v>
      </c>
      <c r="C189" s="361">
        <v>7149528</v>
      </c>
      <c r="D189" s="358">
        <v>6050000</v>
      </c>
      <c r="E189" s="358">
        <v>6638064</v>
      </c>
      <c r="F189" s="376">
        <v>17430000</v>
      </c>
      <c r="G189" s="357">
        <f t="shared" si="234"/>
        <v>17517150</v>
      </c>
      <c r="H189" s="357">
        <f t="shared" si="235"/>
        <v>17604735.75</v>
      </c>
      <c r="I189" s="357">
        <f t="shared" si="236"/>
        <v>17692759.428750001</v>
      </c>
      <c r="J189" s="357">
        <f t="shared" si="237"/>
        <v>17781223.225893751</v>
      </c>
      <c r="K189" s="357">
        <f t="shared" si="238"/>
        <v>17870129.34202322</v>
      </c>
      <c r="L189" s="357">
        <f t="shared" si="239"/>
        <v>17959479.988733336</v>
      </c>
      <c r="M189" s="357">
        <f t="shared" si="240"/>
        <v>18049277.388677005</v>
      </c>
      <c r="N189" s="357">
        <f>(M189*0.5%)+M189+118129.1</f>
        <v>18257652.875620391</v>
      </c>
      <c r="O189" s="357">
        <f t="shared" si="241"/>
        <v>179999999.99969772</v>
      </c>
      <c r="P189" s="361">
        <v>180000000</v>
      </c>
      <c r="Q189" s="252"/>
      <c r="R189" s="252"/>
      <c r="S189" s="252"/>
      <c r="T189" s="239"/>
      <c r="U189" s="239"/>
      <c r="V189" s="239"/>
      <c r="W189" s="239"/>
      <c r="X189" s="239"/>
      <c r="Y189" s="239"/>
      <c r="Z189" s="239"/>
      <c r="AA189" s="239"/>
      <c r="AB189" s="239"/>
      <c r="AC189" s="239"/>
    </row>
    <row r="190" spans="1:29" ht="15" customHeight="1">
      <c r="A190" s="219" t="s">
        <v>875</v>
      </c>
      <c r="B190" s="377" t="s">
        <v>876</v>
      </c>
      <c r="C190" s="379">
        <f>SUM(C191:C194)</f>
        <v>0</v>
      </c>
      <c r="D190" s="379" cm="1">
        <f t="array" ref="D190">SUM(D191:D194)</f>
        <v>0</v>
      </c>
      <c r="E190" s="379" cm="1">
        <f t="array" ref="E190">SUM(E191:E194)</f>
        <v>38877538</v>
      </c>
      <c r="F190" s="378" cm="1">
        <f t="array" ref="F190">SUM(F191:F194)</f>
        <v>203650000</v>
      </c>
      <c r="G190" s="220" cm="1">
        <f t="array" ref="G190">SUM(G191:G194)</f>
        <v>204668250</v>
      </c>
      <c r="H190" s="220" cm="1">
        <f t="array" ref="H190">SUM(H191:H194)</f>
        <v>205691591.25</v>
      </c>
      <c r="I190" s="220" cm="1">
        <f t="array" ref="I190">SUM(I191:I194)</f>
        <v>206720049.20625001</v>
      </c>
      <c r="J190" s="220" cm="1">
        <f t="array" ref="J190">SUM(J191:J194)</f>
        <v>207753649.45228124</v>
      </c>
      <c r="K190" s="220" cm="1">
        <f t="array" ref="K190">SUM(K191:K194)</f>
        <v>208792417.69954264</v>
      </c>
      <c r="L190" s="220" cm="1">
        <f t="array" ref="L190">SUM(L191:L194)</f>
        <v>209836379.78804037</v>
      </c>
      <c r="M190" s="220" cm="1">
        <f t="array" ref="M190">SUM(M191:M194)</f>
        <v>210885561.68698058</v>
      </c>
      <c r="N190" s="220" cm="1">
        <f t="array" ref="N190">SUM(N191:N194)</f>
        <v>213124562.92541549</v>
      </c>
      <c r="O190" s="220" cm="1">
        <f t="array" ref="O190">SUM(C190:N190)</f>
        <v>1910000000.0085101</v>
      </c>
      <c r="P190" s="243"/>
      <c r="Q190" s="239"/>
      <c r="R190" s="252"/>
      <c r="S190" s="252"/>
      <c r="T190" s="239"/>
      <c r="U190" s="239"/>
      <c r="V190" s="239"/>
      <c r="W190" s="239"/>
      <c r="X190" s="239"/>
      <c r="Y190" s="239"/>
      <c r="Z190" s="239"/>
      <c r="AA190" s="239"/>
      <c r="AB190" s="239"/>
      <c r="AC190" s="239"/>
    </row>
    <row r="191" spans="1:29" ht="16.5" customHeight="1">
      <c r="A191" s="210" t="s">
        <v>877</v>
      </c>
      <c r="B191" s="375" t="s">
        <v>878</v>
      </c>
      <c r="C191" s="357"/>
      <c r="D191" s="357"/>
      <c r="E191" s="358">
        <v>12130600</v>
      </c>
      <c r="F191" s="376">
        <v>129300000</v>
      </c>
      <c r="G191" s="357">
        <f t="shared" ref="G191:G194" si="242">(F191*0.5%)+F191</f>
        <v>129946500</v>
      </c>
      <c r="H191" s="357">
        <f t="shared" ref="H191:H194" si="243">(G191*0.5%)+G191</f>
        <v>130596232.5</v>
      </c>
      <c r="I191" s="357">
        <f t="shared" ref="I191:I194" si="244">(H191*0.5%)+H191</f>
        <v>131249213.66249999</v>
      </c>
      <c r="J191" s="357">
        <f t="shared" ref="J191:J194" si="245">(I191*(0.5%)+I191)</f>
        <v>131905459.73081249</v>
      </c>
      <c r="K191" s="357">
        <f t="shared" ref="K191:K194" si="246">(J191*0.5%)+J191</f>
        <v>132564987.02946655</v>
      </c>
      <c r="L191" s="357">
        <f t="shared" ref="L191:L194" si="247">(K191*0.5%)+K191</f>
        <v>133227811.96461388</v>
      </c>
      <c r="M191" s="357">
        <f t="shared" ref="M191:M194" si="248">(L191*0.5%)+L191</f>
        <v>133893951.02443695</v>
      </c>
      <c r="N191" s="357">
        <f>(M191*0.5%)+M191+621823.31</f>
        <v>135185244.08955914</v>
      </c>
      <c r="O191" s="357">
        <f t="shared" ref="O191:O194" si="249">SUM(C191:N191)</f>
        <v>1200000000.001389</v>
      </c>
      <c r="P191" s="361">
        <v>1200000000</v>
      </c>
      <c r="Q191" s="252"/>
      <c r="R191" s="252"/>
      <c r="S191" s="252"/>
      <c r="T191" s="239"/>
      <c r="U191" s="239"/>
      <c r="V191" s="239"/>
      <c r="W191" s="239"/>
      <c r="X191" s="239"/>
      <c r="Y191" s="239"/>
      <c r="Z191" s="239"/>
      <c r="AA191" s="239"/>
      <c r="AB191" s="239"/>
      <c r="AC191" s="239"/>
    </row>
    <row r="192" spans="1:29" ht="16.5" customHeight="1">
      <c r="A192" s="210" t="s">
        <v>879</v>
      </c>
      <c r="B192" s="375" t="s">
        <v>880</v>
      </c>
      <c r="C192" s="357"/>
      <c r="D192" s="357"/>
      <c r="E192" s="358">
        <v>5746880</v>
      </c>
      <c r="F192" s="376">
        <v>4800000</v>
      </c>
      <c r="G192" s="357">
        <f t="shared" si="242"/>
        <v>4824000</v>
      </c>
      <c r="H192" s="357">
        <f t="shared" si="243"/>
        <v>4848120</v>
      </c>
      <c r="I192" s="357">
        <f t="shared" si="244"/>
        <v>4872360.5999999996</v>
      </c>
      <c r="J192" s="357">
        <f t="shared" si="245"/>
        <v>4896722.4029999999</v>
      </c>
      <c r="K192" s="357">
        <f t="shared" si="246"/>
        <v>4921206.0150149995</v>
      </c>
      <c r="L192" s="357">
        <f t="shared" si="247"/>
        <v>4945812.0450900747</v>
      </c>
      <c r="M192" s="357">
        <f t="shared" si="248"/>
        <v>4970541.1053155251</v>
      </c>
      <c r="N192" s="357">
        <f>(M192*0.5%)+M192+178964.02</f>
        <v>5174357.8308421019</v>
      </c>
      <c r="O192" s="357">
        <f t="shared" si="249"/>
        <v>49999999.999262698</v>
      </c>
      <c r="P192" s="361">
        <v>50000000</v>
      </c>
      <c r="Q192" s="252"/>
      <c r="R192" s="252"/>
      <c r="S192" s="252"/>
      <c r="T192" s="239"/>
      <c r="U192" s="239"/>
      <c r="V192" s="239"/>
      <c r="W192" s="239"/>
      <c r="X192" s="239"/>
      <c r="Y192" s="239"/>
      <c r="Z192" s="239"/>
      <c r="AA192" s="239"/>
      <c r="AB192" s="239"/>
      <c r="AC192" s="239"/>
    </row>
    <row r="193" spans="1:29" ht="16.5" customHeight="1">
      <c r="A193" s="210" t="s">
        <v>881</v>
      </c>
      <c r="B193" s="375" t="s">
        <v>882</v>
      </c>
      <c r="C193" s="357"/>
      <c r="D193" s="357"/>
      <c r="E193" s="358">
        <v>21000058</v>
      </c>
      <c r="F193" s="376">
        <v>52150000</v>
      </c>
      <c r="G193" s="357">
        <f t="shared" si="242"/>
        <v>52410750</v>
      </c>
      <c r="H193" s="357">
        <f t="shared" si="243"/>
        <v>52672803.75</v>
      </c>
      <c r="I193" s="357">
        <f t="shared" si="244"/>
        <v>52936167.768749997</v>
      </c>
      <c r="J193" s="357">
        <f t="shared" si="245"/>
        <v>53200848.607593745</v>
      </c>
      <c r="K193" s="357">
        <f t="shared" si="246"/>
        <v>53466852.850631714</v>
      </c>
      <c r="L193" s="357">
        <f t="shared" si="247"/>
        <v>53734187.114884876</v>
      </c>
      <c r="M193" s="357">
        <f t="shared" si="248"/>
        <v>54002858.050459303</v>
      </c>
      <c r="N193" s="357">
        <f>(M193*0.5%)+M193+152601.52</f>
        <v>54425473.860711604</v>
      </c>
      <c r="O193" s="357">
        <f t="shared" si="249"/>
        <v>500000000.00303125</v>
      </c>
      <c r="P193" s="361">
        <v>500000000</v>
      </c>
      <c r="Q193" s="252"/>
      <c r="R193" s="252"/>
      <c r="S193" s="252"/>
      <c r="T193" s="239"/>
      <c r="U193" s="239"/>
      <c r="V193" s="239"/>
      <c r="W193" s="239"/>
      <c r="X193" s="239"/>
      <c r="Y193" s="239"/>
      <c r="Z193" s="239"/>
      <c r="AA193" s="239"/>
      <c r="AB193" s="239"/>
      <c r="AC193" s="239"/>
    </row>
    <row r="194" spans="1:29" ht="16.5" customHeight="1">
      <c r="A194" s="210" t="s">
        <v>883</v>
      </c>
      <c r="B194" s="375" t="s">
        <v>884</v>
      </c>
      <c r="C194" s="357"/>
      <c r="D194" s="357"/>
      <c r="E194" s="357"/>
      <c r="F194" s="376">
        <v>17400000</v>
      </c>
      <c r="G194" s="357">
        <f t="shared" si="242"/>
        <v>17487000</v>
      </c>
      <c r="H194" s="357">
        <f t="shared" si="243"/>
        <v>17574435</v>
      </c>
      <c r="I194" s="357">
        <f t="shared" si="244"/>
        <v>17662307.175000001</v>
      </c>
      <c r="J194" s="357">
        <f t="shared" si="245"/>
        <v>17750618.710875001</v>
      </c>
      <c r="K194" s="357">
        <f t="shared" si="246"/>
        <v>17839371.804429375</v>
      </c>
      <c r="L194" s="357">
        <f t="shared" si="247"/>
        <v>17928568.663451523</v>
      </c>
      <c r="M194" s="357">
        <f t="shared" si="248"/>
        <v>18018211.506768782</v>
      </c>
      <c r="N194" s="357">
        <f>(M194*0.5%)+M194+231184.58</f>
        <v>18339487.144302625</v>
      </c>
      <c r="O194" s="357">
        <f t="shared" si="249"/>
        <v>160000000.00482732</v>
      </c>
      <c r="P194" s="361">
        <v>160000000</v>
      </c>
      <c r="Q194" s="252"/>
      <c r="R194" s="252"/>
      <c r="S194" s="252"/>
      <c r="T194" s="239"/>
      <c r="U194" s="239"/>
      <c r="V194" s="239"/>
      <c r="W194" s="239"/>
      <c r="X194" s="239"/>
      <c r="Y194" s="239"/>
      <c r="Z194" s="239"/>
      <c r="AA194" s="239"/>
      <c r="AB194" s="239"/>
      <c r="AC194" s="239"/>
    </row>
    <row r="195" spans="1:29" ht="15" customHeight="1">
      <c r="A195" s="219" t="s">
        <v>885</v>
      </c>
      <c r="B195" s="377" t="s">
        <v>886</v>
      </c>
      <c r="C195" s="379">
        <f>SUM(C196:C199)</f>
        <v>0</v>
      </c>
      <c r="D195" s="379" cm="1">
        <f t="array" ref="D195">SUM(D196:D199)</f>
        <v>0</v>
      </c>
      <c r="E195" s="379" cm="1">
        <f t="array" ref="E195">SUM(E196:E199)</f>
        <v>0</v>
      </c>
      <c r="F195" s="378" cm="1">
        <f t="array" ref="F195">SUM(F196:F199)</f>
        <v>126780000</v>
      </c>
      <c r="G195" s="220" cm="1">
        <f t="array" ref="G195">SUM(G196:G199)</f>
        <v>21889900</v>
      </c>
      <c r="H195" s="220" cm="1">
        <f t="array" ref="H195">SUM(H196:H199)</f>
        <v>21998344.5</v>
      </c>
      <c r="I195" s="220" cm="1">
        <f t="array" ref="I195">SUM(I196:I199)</f>
        <v>22108336.2225</v>
      </c>
      <c r="J195" s="220" cm="1">
        <f t="array" ref="J195">SUM(J196:J199)</f>
        <v>22218877.903612502</v>
      </c>
      <c r="K195" s="220" cm="1">
        <f t="array" ref="K195">SUM(K196:K199)</f>
        <v>22329972.293130565</v>
      </c>
      <c r="L195" s="220" cm="1">
        <f t="array" ref="L195">SUM(L196:L199)</f>
        <v>22441622.154596217</v>
      </c>
      <c r="M195" s="220" cm="1">
        <f t="array" ref="M195">SUM(M196:M199)</f>
        <v>22553830.265369199</v>
      </c>
      <c r="N195" s="220" cm="1">
        <f t="array" ref="N195">SUM(N196:N199)</f>
        <v>22680116.656696044</v>
      </c>
      <c r="O195" s="220" cm="1">
        <f t="array" ref="O195">SUM(O196:O199)</f>
        <v>305000999.99590456</v>
      </c>
      <c r="P195" s="243"/>
      <c r="Q195" s="239"/>
      <c r="R195" s="252"/>
      <c r="S195" s="252"/>
      <c r="T195" s="239"/>
      <c r="U195" s="239"/>
      <c r="V195" s="239"/>
      <c r="W195" s="239"/>
      <c r="X195" s="239"/>
      <c r="Y195" s="239"/>
      <c r="Z195" s="239"/>
      <c r="AA195" s="239"/>
      <c r="AB195" s="239"/>
      <c r="AC195" s="239"/>
    </row>
    <row r="196" spans="1:29" ht="16.5" customHeight="1">
      <c r="A196" s="210" t="s">
        <v>887</v>
      </c>
      <c r="B196" s="375" t="s">
        <v>888</v>
      </c>
      <c r="C196" s="357"/>
      <c r="D196" s="357"/>
      <c r="E196" s="357"/>
      <c r="F196" s="376">
        <v>105000000</v>
      </c>
      <c r="G196" s="357"/>
      <c r="H196" s="357"/>
      <c r="I196" s="357"/>
      <c r="J196" s="357"/>
      <c r="K196" s="357"/>
      <c r="L196" s="357"/>
      <c r="M196" s="357"/>
      <c r="N196" s="357"/>
      <c r="O196" s="357">
        <f t="shared" ref="O196:O199" si="250">SUM(C196:N196)</f>
        <v>105000000</v>
      </c>
      <c r="P196" s="361">
        <v>105000000</v>
      </c>
      <c r="Q196" s="252"/>
      <c r="R196" s="252"/>
      <c r="S196" s="252"/>
      <c r="T196" s="239"/>
      <c r="U196" s="239"/>
      <c r="V196" s="239"/>
      <c r="W196" s="239"/>
      <c r="X196" s="239"/>
      <c r="Y196" s="239"/>
      <c r="Z196" s="239"/>
      <c r="AA196" s="239"/>
      <c r="AB196" s="239"/>
      <c r="AC196" s="239"/>
    </row>
    <row r="197" spans="1:29" ht="16.5" customHeight="1">
      <c r="A197" s="210" t="s">
        <v>889</v>
      </c>
      <c r="B197" s="375" t="s">
        <v>890</v>
      </c>
      <c r="C197" s="357"/>
      <c r="D197" s="357"/>
      <c r="E197" s="357"/>
      <c r="F197" s="376"/>
      <c r="G197" s="357">
        <v>1000</v>
      </c>
      <c r="H197" s="357"/>
      <c r="I197" s="357"/>
      <c r="J197" s="357"/>
      <c r="K197" s="357"/>
      <c r="L197" s="357"/>
      <c r="M197" s="357"/>
      <c r="N197" s="357"/>
      <c r="O197" s="357">
        <f t="shared" si="250"/>
        <v>1000</v>
      </c>
      <c r="P197" s="361">
        <v>1000</v>
      </c>
      <c r="Q197" s="239"/>
      <c r="R197" s="252"/>
      <c r="S197" s="252"/>
      <c r="T197" s="239"/>
      <c r="U197" s="239"/>
      <c r="V197" s="239"/>
      <c r="W197" s="239"/>
      <c r="X197" s="239"/>
      <c r="Y197" s="239"/>
      <c r="Z197" s="239"/>
      <c r="AA197" s="239"/>
      <c r="AB197" s="239"/>
      <c r="AC197" s="239"/>
    </row>
    <row r="198" spans="1:29" ht="16.5" customHeight="1">
      <c r="A198" s="210" t="s">
        <v>891</v>
      </c>
      <c r="B198" s="375" t="s">
        <v>892</v>
      </c>
      <c r="C198" s="357"/>
      <c r="D198" s="357"/>
      <c r="E198" s="357"/>
      <c r="F198" s="376">
        <v>10890000</v>
      </c>
      <c r="G198" s="357">
        <f t="shared" ref="G198:G199" si="251">(F198*0.5%)+F198</f>
        <v>10944450</v>
      </c>
      <c r="H198" s="357">
        <f t="shared" ref="H198:H199" si="252">(G198*0.5%)+G198</f>
        <v>10999172.25</v>
      </c>
      <c r="I198" s="357">
        <f t="shared" ref="I198:I199" si="253">(H198*0.5%)+H198</f>
        <v>11054168.11125</v>
      </c>
      <c r="J198" s="357">
        <f t="shared" ref="J198:J199" si="254">(I198*(0.5%)+I198)</f>
        <v>11109438.951806251</v>
      </c>
      <c r="K198" s="357">
        <f t="shared" ref="K198:K199" si="255">(J198*0.5%)+J198</f>
        <v>11164986.146565283</v>
      </c>
      <c r="L198" s="357">
        <f t="shared" ref="L198:L199" si="256">(K198*0.5%)+K198</f>
        <v>11220811.077298108</v>
      </c>
      <c r="M198" s="357">
        <f t="shared" ref="M198:M199" si="257">(L198*0.5%)+L198</f>
        <v>11276915.1326846</v>
      </c>
      <c r="N198" s="357">
        <f>(M198*0.5%)+M198+6758.62</f>
        <v>11340058.328348022</v>
      </c>
      <c r="O198" s="357">
        <f t="shared" si="250"/>
        <v>99999999.997952268</v>
      </c>
      <c r="P198" s="361">
        <v>100000000</v>
      </c>
      <c r="Q198" s="252"/>
      <c r="R198" s="252"/>
      <c r="S198" s="252"/>
      <c r="T198" s="239"/>
      <c r="U198" s="239"/>
      <c r="V198" s="239"/>
      <c r="W198" s="239"/>
      <c r="X198" s="239"/>
      <c r="Y198" s="239"/>
      <c r="Z198" s="239"/>
      <c r="AA198" s="239"/>
      <c r="AB198" s="239"/>
      <c r="AC198" s="239"/>
    </row>
    <row r="199" spans="1:29" ht="16.5" customHeight="1">
      <c r="A199" s="210" t="s">
        <v>893</v>
      </c>
      <c r="B199" s="375" t="s">
        <v>894</v>
      </c>
      <c r="C199" s="357"/>
      <c r="D199" s="357"/>
      <c r="E199" s="357"/>
      <c r="F199" s="376">
        <v>10890000</v>
      </c>
      <c r="G199" s="357">
        <f t="shared" si="251"/>
        <v>10944450</v>
      </c>
      <c r="H199" s="357">
        <f t="shared" si="252"/>
        <v>10999172.25</v>
      </c>
      <c r="I199" s="357">
        <f t="shared" si="253"/>
        <v>11054168.11125</v>
      </c>
      <c r="J199" s="357">
        <f t="shared" si="254"/>
        <v>11109438.951806251</v>
      </c>
      <c r="K199" s="357">
        <f t="shared" si="255"/>
        <v>11164986.146565283</v>
      </c>
      <c r="L199" s="357">
        <f t="shared" si="256"/>
        <v>11220811.077298108</v>
      </c>
      <c r="M199" s="357">
        <f t="shared" si="257"/>
        <v>11276915.1326846</v>
      </c>
      <c r="N199" s="357">
        <f>(M199*0.5%)+M199+6758.62</f>
        <v>11340058.328348022</v>
      </c>
      <c r="O199" s="357">
        <f t="shared" si="250"/>
        <v>99999999.997952268</v>
      </c>
      <c r="P199" s="361">
        <v>100000000</v>
      </c>
      <c r="Q199" s="252"/>
      <c r="R199" s="252"/>
      <c r="S199" s="252"/>
      <c r="T199" s="239"/>
      <c r="U199" s="239"/>
      <c r="V199" s="239"/>
      <c r="W199" s="239"/>
      <c r="X199" s="239"/>
      <c r="Y199" s="239"/>
      <c r="Z199" s="239"/>
      <c r="AA199" s="239"/>
      <c r="AB199" s="239"/>
      <c r="AC199" s="239"/>
    </row>
    <row r="200" spans="1:29" ht="15" customHeight="1">
      <c r="A200" s="214">
        <v>2.2999999999999998</v>
      </c>
      <c r="B200" s="365" t="s">
        <v>895</v>
      </c>
      <c r="C200" s="410">
        <f>C201+C205</f>
        <v>762880</v>
      </c>
      <c r="D200" s="410" cm="1">
        <f t="array" ref="D200">D201+D205</f>
        <v>479919190</v>
      </c>
      <c r="E200" s="410" cm="1">
        <f t="array" ref="E200">E201+E205</f>
        <v>0</v>
      </c>
      <c r="F200" s="400" cm="1">
        <f t="array" ref="F200">F201+F205</f>
        <v>614635000</v>
      </c>
      <c r="G200" s="223" cm="1">
        <f t="array" ref="G200">G201+G205</f>
        <v>617708175</v>
      </c>
      <c r="H200" s="223" cm="1">
        <f t="array" ref="H200">H201+H205</f>
        <v>620796715.875</v>
      </c>
      <c r="I200" s="223" cm="1">
        <f t="array" ref="I200">I201+I205</f>
        <v>623900699.45437503</v>
      </c>
      <c r="J200" s="223" cm="1">
        <f t="array" ref="J200">J201+J205</f>
        <v>627020202.95164692</v>
      </c>
      <c r="K200" s="223" cm="1">
        <f t="array" ref="K200">K201+K205</f>
        <v>630155303.96640515</v>
      </c>
      <c r="L200" s="223" cm="1">
        <f t="array" ref="L200">L201+L205</f>
        <v>633306080.48623729</v>
      </c>
      <c r="M200" s="223" cm="1">
        <f t="array" ref="M200">M201+M205</f>
        <v>636472610.8886683</v>
      </c>
      <c r="N200" s="223">
        <f>N201+N205</f>
        <v>640387147.15311182</v>
      </c>
      <c r="O200" s="223" cm="1">
        <f t="array" ref="O200">SUM(C200:N200)</f>
        <v>6125064005.775444</v>
      </c>
      <c r="P200" s="243"/>
      <c r="Q200" s="239">
        <v>6125064005.7799997</v>
      </c>
      <c r="R200" s="252">
        <f>+O200-Q200</f>
        <v>-4.5557022094726563E-3</v>
      </c>
      <c r="S200" s="252"/>
      <c r="T200" s="239"/>
      <c r="U200" s="239"/>
      <c r="V200" s="239"/>
      <c r="W200" s="239"/>
      <c r="X200" s="239"/>
      <c r="Y200" s="239"/>
      <c r="Z200" s="239"/>
      <c r="AA200" s="239"/>
      <c r="AB200" s="239"/>
      <c r="AC200" s="239"/>
    </row>
    <row r="201" spans="1:29" ht="15" customHeight="1">
      <c r="A201" s="219" t="s">
        <v>896</v>
      </c>
      <c r="B201" s="377" t="s">
        <v>897</v>
      </c>
      <c r="C201" s="411">
        <f>+C202</f>
        <v>0</v>
      </c>
      <c r="D201" s="411">
        <f t="shared" ref="D201:O201" si="258">+D202</f>
        <v>436842384</v>
      </c>
      <c r="E201" s="411">
        <f t="shared" si="258"/>
        <v>0</v>
      </c>
      <c r="F201" s="401">
        <f t="shared" si="258"/>
        <v>608305000</v>
      </c>
      <c r="G201" s="224">
        <f t="shared" si="258"/>
        <v>611346525</v>
      </c>
      <c r="H201" s="224">
        <f t="shared" si="258"/>
        <v>614403257.625</v>
      </c>
      <c r="I201" s="224">
        <f t="shared" si="258"/>
        <v>617475273.91312504</v>
      </c>
      <c r="J201" s="224">
        <f t="shared" si="258"/>
        <v>620562650.28269064</v>
      </c>
      <c r="K201" s="224">
        <f t="shared" si="258"/>
        <v>623665463.53410411</v>
      </c>
      <c r="L201" s="224">
        <f t="shared" si="258"/>
        <v>626783790.85177469</v>
      </c>
      <c r="M201" s="224">
        <f t="shared" si="258"/>
        <v>629917709.80603349</v>
      </c>
      <c r="N201" s="224">
        <f t="shared" si="258"/>
        <v>633761950.76506376</v>
      </c>
      <c r="O201" s="224">
        <f t="shared" si="258"/>
        <v>6023064005.777791</v>
      </c>
      <c r="P201" s="243"/>
      <c r="Q201" s="239"/>
      <c r="R201" s="239"/>
      <c r="S201" s="239"/>
      <c r="T201" s="239"/>
      <c r="U201" s="239"/>
      <c r="V201" s="239"/>
      <c r="W201" s="239"/>
      <c r="X201" s="239"/>
      <c r="Y201" s="239"/>
      <c r="Z201" s="239"/>
      <c r="AA201" s="239"/>
      <c r="AB201" s="239"/>
      <c r="AC201" s="239"/>
    </row>
    <row r="202" spans="1:29" ht="16.5" customHeight="1">
      <c r="A202" s="219" t="s">
        <v>898</v>
      </c>
      <c r="B202" s="377" t="s">
        <v>899</v>
      </c>
      <c r="C202" s="411">
        <f>SUM(C203:C204)</f>
        <v>0</v>
      </c>
      <c r="D202" s="411">
        <f t="shared" ref="D202:O202" si="259">SUM(D203:D204)</f>
        <v>436842384</v>
      </c>
      <c r="E202" s="411">
        <f t="shared" si="259"/>
        <v>0</v>
      </c>
      <c r="F202" s="401">
        <f t="shared" si="259"/>
        <v>608305000</v>
      </c>
      <c r="G202" s="224">
        <f t="shared" si="259"/>
        <v>611346525</v>
      </c>
      <c r="H202" s="224">
        <f t="shared" si="259"/>
        <v>614403257.625</v>
      </c>
      <c r="I202" s="224">
        <f t="shared" si="259"/>
        <v>617475273.91312504</v>
      </c>
      <c r="J202" s="224">
        <f t="shared" si="259"/>
        <v>620562650.28269064</v>
      </c>
      <c r="K202" s="224">
        <f t="shared" si="259"/>
        <v>623665463.53410411</v>
      </c>
      <c r="L202" s="224">
        <f t="shared" si="259"/>
        <v>626783790.85177469</v>
      </c>
      <c r="M202" s="224">
        <f t="shared" si="259"/>
        <v>629917709.80603349</v>
      </c>
      <c r="N202" s="224">
        <f t="shared" si="259"/>
        <v>633761950.76506376</v>
      </c>
      <c r="O202" s="224">
        <f t="shared" si="259"/>
        <v>6023064005.777791</v>
      </c>
      <c r="P202" s="358"/>
      <c r="Q202" s="239"/>
      <c r="R202" s="239"/>
      <c r="S202" s="239"/>
      <c r="T202" s="239"/>
      <c r="U202" s="239"/>
      <c r="V202" s="239"/>
      <c r="W202" s="239"/>
      <c r="X202" s="239"/>
      <c r="Y202" s="239"/>
      <c r="Z202" s="239"/>
      <c r="AA202" s="239"/>
      <c r="AB202" s="239"/>
      <c r="AC202" s="239"/>
    </row>
    <row r="203" spans="1:29" ht="16.5" customHeight="1">
      <c r="A203" s="367" t="s">
        <v>900</v>
      </c>
      <c r="B203" s="390" t="s">
        <v>899</v>
      </c>
      <c r="C203" s="412"/>
      <c r="D203" s="361">
        <v>436842384</v>
      </c>
      <c r="E203" s="412"/>
      <c r="F203" s="402">
        <v>588750000</v>
      </c>
      <c r="G203" s="366">
        <f t="shared" ref="G203:G204" si="260">(F203*0.5%)+F203</f>
        <v>591693750</v>
      </c>
      <c r="H203" s="366">
        <f t="shared" ref="H203:H204" si="261">(G203*0.5%)+G203</f>
        <v>594652218.75</v>
      </c>
      <c r="I203" s="366">
        <f t="shared" ref="I203:I204" si="262">(H203*0.5%)+H203</f>
        <v>597625479.84375</v>
      </c>
      <c r="J203" s="366">
        <f t="shared" ref="J203:J204" si="263">(I203*(0.5%)+I203)</f>
        <v>600613607.2429688</v>
      </c>
      <c r="K203" s="366">
        <f t="shared" ref="K203:K204" si="264">(J203*0.5%)+J203</f>
        <v>603616675.27918363</v>
      </c>
      <c r="L203" s="366">
        <f t="shared" ref="L203:L204" si="265">(K203*0.5%)+K203</f>
        <v>606634758.65557957</v>
      </c>
      <c r="M203" s="366">
        <f t="shared" ref="M203:M204" si="266">(L203*0.5%)+L203</f>
        <v>609667932.44885743</v>
      </c>
      <c r="N203" s="366">
        <f>(M203*0.5%)+M203+250927.45</f>
        <v>612967199.56110179</v>
      </c>
      <c r="O203" s="366">
        <f t="shared" ref="O203:O204" si="267">SUM(C203:N203)</f>
        <v>5843064005.7814407</v>
      </c>
      <c r="P203" s="358">
        <v>5843064005.7799997</v>
      </c>
      <c r="Q203" s="252"/>
      <c r="R203" s="252"/>
      <c r="S203" s="252"/>
      <c r="T203" s="239"/>
      <c r="U203" s="239"/>
      <c r="V203" s="239"/>
      <c r="W203" s="239"/>
      <c r="X203" s="239"/>
      <c r="Y203" s="239"/>
      <c r="Z203" s="239"/>
      <c r="AA203" s="239"/>
      <c r="AB203" s="239"/>
      <c r="AC203" s="239"/>
    </row>
    <row r="204" spans="1:29" ht="16.5" customHeight="1">
      <c r="A204" s="367" t="s">
        <v>1286</v>
      </c>
      <c r="B204" s="390" t="s">
        <v>1287</v>
      </c>
      <c r="C204" s="412"/>
      <c r="D204" s="412"/>
      <c r="E204" s="412"/>
      <c r="F204" s="376">
        <v>19555000</v>
      </c>
      <c r="G204" s="366">
        <f t="shared" si="260"/>
        <v>19652775</v>
      </c>
      <c r="H204" s="366">
        <f t="shared" si="261"/>
        <v>19751038.875</v>
      </c>
      <c r="I204" s="366">
        <f t="shared" si="262"/>
        <v>19849794.069375001</v>
      </c>
      <c r="J204" s="366">
        <f t="shared" si="263"/>
        <v>19949043.039721876</v>
      </c>
      <c r="K204" s="366">
        <f t="shared" si="264"/>
        <v>20048788.254920486</v>
      </c>
      <c r="L204" s="366">
        <f t="shared" si="265"/>
        <v>20149032.196195088</v>
      </c>
      <c r="M204" s="366">
        <f t="shared" si="266"/>
        <v>20249777.357176065</v>
      </c>
      <c r="N204" s="366">
        <f>(M204*0.5%)+M204+443724.96</f>
        <v>20794751.203961946</v>
      </c>
      <c r="O204" s="366">
        <f t="shared" si="267"/>
        <v>179999999.99635047</v>
      </c>
      <c r="P204" s="358">
        <v>180000000</v>
      </c>
      <c r="Q204" s="252"/>
      <c r="R204" s="252"/>
      <c r="S204" s="252"/>
      <c r="T204" s="239"/>
      <c r="U204" s="239"/>
      <c r="V204" s="239"/>
      <c r="W204" s="239"/>
      <c r="X204" s="239"/>
      <c r="Y204" s="239"/>
      <c r="Z204" s="239"/>
      <c r="AA204" s="239"/>
      <c r="AB204" s="239"/>
      <c r="AC204" s="239"/>
    </row>
    <row r="205" spans="1:29" ht="15" customHeight="1">
      <c r="A205" s="219" t="s">
        <v>901</v>
      </c>
      <c r="B205" s="377" t="s">
        <v>902</v>
      </c>
      <c r="C205" s="411">
        <f>SUM(C206:C208)</f>
        <v>762880</v>
      </c>
      <c r="D205" s="411" cm="1">
        <f t="array" ref="D205">SUM(D206:D208)</f>
        <v>43076806</v>
      </c>
      <c r="E205" s="411" cm="1">
        <f t="array" ref="E205">SUM(E206:E208)</f>
        <v>0</v>
      </c>
      <c r="F205" s="401" cm="1">
        <f t="array" ref="F205">SUM(F206:F208)</f>
        <v>6330000</v>
      </c>
      <c r="G205" s="224" cm="1">
        <f t="array" ref="G205">SUM(G206:G208)</f>
        <v>6361650</v>
      </c>
      <c r="H205" s="224" cm="1">
        <f t="array" ref="H205">SUM(H206:H208)</f>
        <v>6393458.25</v>
      </c>
      <c r="I205" s="224" cm="1">
        <f t="array" ref="I205">SUM(I206:I208)</f>
        <v>6425425.5412499998</v>
      </c>
      <c r="J205" s="224" cm="1">
        <f t="array" ref="J205">SUM(J206:J208)</f>
        <v>6457552.66895625</v>
      </c>
      <c r="K205" s="224" cm="1">
        <f t="array" ref="K205">SUM(K206:K208)</f>
        <v>6489840.4323010314</v>
      </c>
      <c r="L205" s="224" cm="1">
        <f t="array" ref="L205">SUM(L206:L208)</f>
        <v>6522289.6344625363</v>
      </c>
      <c r="M205" s="224" cm="1">
        <f t="array" ref="M205">SUM(M206:M208)</f>
        <v>6554901.0826348495</v>
      </c>
      <c r="N205" s="224" cm="1">
        <f t="array" ref="N205">SUM(N206:N208)</f>
        <v>6625196.388048023</v>
      </c>
      <c r="O205" s="224" cm="1">
        <f t="array" ref="O205">SUM(C205:N205)</f>
        <v>101999999.99765269</v>
      </c>
      <c r="P205" s="243"/>
      <c r="Q205" s="239"/>
      <c r="R205" s="252"/>
      <c r="S205" s="252"/>
      <c r="T205" s="239"/>
      <c r="U205" s="239"/>
      <c r="V205" s="239"/>
      <c r="W205" s="239"/>
      <c r="X205" s="239"/>
      <c r="Y205" s="239"/>
      <c r="Z205" s="239"/>
      <c r="AA205" s="239"/>
      <c r="AB205" s="239"/>
      <c r="AC205" s="239"/>
    </row>
    <row r="206" spans="1:29" ht="16.5" customHeight="1">
      <c r="A206" s="210" t="s">
        <v>903</v>
      </c>
      <c r="B206" s="375" t="s">
        <v>904</v>
      </c>
      <c r="C206" s="357"/>
      <c r="D206" s="357"/>
      <c r="E206" s="357"/>
      <c r="F206" s="376">
        <v>2180000</v>
      </c>
      <c r="G206" s="357">
        <f t="shared" ref="G206:G207" si="268">(F206*0.5%)+F206</f>
        <v>2190900</v>
      </c>
      <c r="H206" s="357">
        <f t="shared" ref="H206:H207" si="269">(G206*0.5%)+G206</f>
        <v>2201854.5</v>
      </c>
      <c r="I206" s="357">
        <f t="shared" ref="I206:I207" si="270">(H206*0.5%)+H206</f>
        <v>2212863.7725</v>
      </c>
      <c r="J206" s="357">
        <f t="shared" ref="J206:J207" si="271">(I206*(0.5%)+I206)</f>
        <v>2223928.0913625001</v>
      </c>
      <c r="K206" s="357">
        <f t="shared" ref="K206:K207" si="272">(J206*0.5%)+J206</f>
        <v>2235047.7318193126</v>
      </c>
      <c r="L206" s="357">
        <f t="shared" ref="L206:L207" si="273">(K206*0.5%)+K206</f>
        <v>2246222.970478409</v>
      </c>
      <c r="M206" s="357">
        <f t="shared" ref="M206:M207" si="274">(L206*0.5%)+L206</f>
        <v>2257454.0853308011</v>
      </c>
      <c r="N206" s="357">
        <f>(M206*0.5%)+M206-17012.51</f>
        <v>2251728.8457574551</v>
      </c>
      <c r="O206" s="357">
        <f t="shared" ref="O206:O207" si="275">SUM(C206:N206)</f>
        <v>19999999.997248478</v>
      </c>
      <c r="P206" s="358">
        <v>20000000</v>
      </c>
      <c r="Q206" s="252"/>
      <c r="R206" s="252"/>
      <c r="S206" s="252"/>
      <c r="T206" s="239"/>
      <c r="U206" s="239"/>
      <c r="V206" s="239"/>
      <c r="W206" s="239"/>
      <c r="X206" s="239"/>
      <c r="Y206" s="239"/>
      <c r="Z206" s="239"/>
      <c r="AA206" s="239"/>
      <c r="AB206" s="239"/>
      <c r="AC206" s="239"/>
    </row>
    <row r="207" spans="1:29" ht="16.5" customHeight="1">
      <c r="A207" s="210" t="s">
        <v>905</v>
      </c>
      <c r="B207" s="375" t="s">
        <v>906</v>
      </c>
      <c r="C207" s="361">
        <v>762880</v>
      </c>
      <c r="D207" s="358">
        <v>43076806</v>
      </c>
      <c r="E207" s="413"/>
      <c r="F207" s="403">
        <v>4150000</v>
      </c>
      <c r="G207" s="357">
        <f t="shared" si="268"/>
        <v>4170750</v>
      </c>
      <c r="H207" s="357">
        <f t="shared" si="269"/>
        <v>4191603.75</v>
      </c>
      <c r="I207" s="357">
        <f t="shared" si="270"/>
        <v>4212561.7687499998</v>
      </c>
      <c r="J207" s="357">
        <f t="shared" si="271"/>
        <v>4233624.5775937494</v>
      </c>
      <c r="K207" s="357">
        <f t="shared" si="272"/>
        <v>4254792.7004817184</v>
      </c>
      <c r="L207" s="357">
        <f t="shared" si="273"/>
        <v>4276066.6639841273</v>
      </c>
      <c r="M207" s="357">
        <f t="shared" si="274"/>
        <v>4297446.9973040484</v>
      </c>
      <c r="N207" s="357">
        <f>(M207*0.5%)+M207+54533.31</f>
        <v>4373467.5422905684</v>
      </c>
      <c r="O207" s="357">
        <f t="shared" si="275"/>
        <v>82000000.000404209</v>
      </c>
      <c r="P207" s="358">
        <v>82000000</v>
      </c>
      <c r="Q207" s="252">
        <f t="shared" ref="Q207" si="276">+P207-O207</f>
        <v>-4.0420889854431152E-4</v>
      </c>
      <c r="R207" s="252">
        <f>+C207+D207</f>
        <v>43839686</v>
      </c>
      <c r="S207" s="252">
        <f>+P207-R207</f>
        <v>38160314</v>
      </c>
      <c r="T207" s="239"/>
      <c r="U207" s="239"/>
      <c r="V207" s="239"/>
      <c r="W207" s="239"/>
      <c r="X207" s="239"/>
      <c r="Y207" s="239"/>
      <c r="Z207" s="239"/>
      <c r="AA207" s="239"/>
      <c r="AB207" s="239"/>
      <c r="AC207" s="239"/>
    </row>
    <row r="208" spans="1:29" ht="16.5" customHeight="1">
      <c r="A208" s="210"/>
      <c r="B208" s="375"/>
      <c r="C208" s="357"/>
      <c r="D208" s="357"/>
      <c r="E208" s="357"/>
      <c r="F208" s="376"/>
      <c r="G208" s="225"/>
      <c r="H208" s="225"/>
      <c r="I208" s="225"/>
      <c r="J208" s="225"/>
      <c r="K208" s="225"/>
      <c r="L208" s="225"/>
      <c r="M208" s="225"/>
      <c r="N208" s="225"/>
      <c r="O208" s="215"/>
      <c r="P208" s="243"/>
      <c r="Q208" s="239"/>
      <c r="R208" s="252"/>
      <c r="S208" s="252">
        <f>+S207/10</f>
        <v>3816031.4</v>
      </c>
      <c r="T208" s="239"/>
      <c r="U208" s="239"/>
      <c r="V208" s="239"/>
      <c r="W208" s="239"/>
      <c r="X208" s="239"/>
      <c r="Y208" s="239"/>
      <c r="Z208" s="239"/>
      <c r="AA208" s="239"/>
      <c r="AB208" s="239"/>
      <c r="AC208" s="239"/>
    </row>
    <row r="209" spans="1:29" ht="16.5" customHeight="1">
      <c r="A209" s="226" t="s">
        <v>907</v>
      </c>
      <c r="B209" s="391"/>
      <c r="C209" s="414">
        <f>C210+C211</f>
        <v>1863987642</v>
      </c>
      <c r="D209" s="414" cm="1">
        <f t="array" ref="D209">D210+D211</f>
        <v>1191201578</v>
      </c>
      <c r="E209" s="414" cm="1">
        <f t="array" ref="E209">E210+E211</f>
        <v>0</v>
      </c>
      <c r="F209" s="404" cm="1">
        <f t="array" ref="F209">F210+F211</f>
        <v>0</v>
      </c>
      <c r="G209" s="227" cm="1">
        <f t="array" ref="G209">G210+G211</f>
        <v>0</v>
      </c>
      <c r="H209" s="227" cm="1">
        <f t="array" ref="H209">H210+H211</f>
        <v>0</v>
      </c>
      <c r="I209" s="227" cm="1">
        <f t="array" ref="I209">I210+I211</f>
        <v>0</v>
      </c>
      <c r="J209" s="227" cm="1">
        <f t="array" ref="J209">J210+J211</f>
        <v>0</v>
      </c>
      <c r="K209" s="227" cm="1">
        <f t="array" ref="K209">K210+K211</f>
        <v>0</v>
      </c>
      <c r="L209" s="227" cm="1">
        <f t="array" ref="L209">L210+L211</f>
        <v>0</v>
      </c>
      <c r="M209" s="227" cm="1">
        <f t="array" ref="M209">M210+M211</f>
        <v>0</v>
      </c>
      <c r="N209" s="227" cm="1">
        <f t="array" ref="N209">N210+N211</f>
        <v>0</v>
      </c>
      <c r="O209" s="228" cm="1">
        <f t="array" ref="O209">SUM(C209:N209)</f>
        <v>3055189220</v>
      </c>
      <c r="P209" s="243"/>
      <c r="Q209" s="239"/>
      <c r="R209" s="239"/>
      <c r="S209" s="239"/>
      <c r="T209" s="239"/>
      <c r="U209" s="239"/>
      <c r="V209" s="239"/>
      <c r="W209" s="239"/>
      <c r="X209" s="239"/>
      <c r="Y209" s="239"/>
      <c r="Z209" s="239"/>
      <c r="AA209" s="239"/>
      <c r="AB209" s="239"/>
      <c r="AC209" s="239"/>
    </row>
    <row r="210" spans="1:29" ht="16.5" customHeight="1">
      <c r="A210" s="229"/>
      <c r="B210" s="210" t="s">
        <v>908</v>
      </c>
      <c r="C210" s="406">
        <v>1863987642</v>
      </c>
      <c r="D210" s="406">
        <v>1191201578</v>
      </c>
      <c r="E210" s="406">
        <v>0</v>
      </c>
      <c r="F210" s="215">
        <v>0</v>
      </c>
      <c r="G210" s="225"/>
      <c r="H210" s="225"/>
      <c r="I210" s="225"/>
      <c r="J210" s="225"/>
      <c r="K210" s="225"/>
      <c r="L210" s="225"/>
      <c r="M210" s="225"/>
      <c r="N210" s="225">
        <v>0</v>
      </c>
      <c r="O210" s="215" cm="1">
        <f t="array" ref="O210">SUM(C210:N210)</f>
        <v>3055189220</v>
      </c>
      <c r="P210" s="243"/>
      <c r="Q210" s="239"/>
      <c r="R210" s="239"/>
      <c r="S210" s="239"/>
      <c r="T210" s="239"/>
      <c r="U210" s="239"/>
      <c r="V210" s="239"/>
      <c r="W210" s="239"/>
      <c r="X210" s="239"/>
      <c r="Y210" s="239"/>
      <c r="Z210" s="239"/>
      <c r="AA210" s="239"/>
      <c r="AB210" s="239"/>
      <c r="AC210" s="239"/>
    </row>
    <row r="211" spans="1:29" ht="16.5" customHeight="1">
      <c r="A211" s="230"/>
      <c r="B211" s="231" t="s">
        <v>909</v>
      </c>
      <c r="C211" s="222"/>
      <c r="D211" s="222"/>
      <c r="E211" s="222"/>
      <c r="F211" s="222"/>
      <c r="G211" s="232"/>
      <c r="H211" s="232"/>
      <c r="I211" s="232"/>
      <c r="J211" s="232"/>
      <c r="K211" s="232"/>
      <c r="L211" s="232"/>
      <c r="M211" s="232"/>
      <c r="N211" s="232">
        <v>0</v>
      </c>
      <c r="O211" s="215" cm="1">
        <f t="array" ref="O211">SUM(C211:N211)</f>
        <v>0</v>
      </c>
      <c r="P211" s="243"/>
      <c r="Q211" s="239"/>
      <c r="R211" s="239"/>
      <c r="S211" s="239"/>
      <c r="T211" s="239"/>
      <c r="U211" s="239"/>
      <c r="V211" s="239"/>
      <c r="W211" s="239"/>
      <c r="X211" s="239"/>
      <c r="Y211" s="239"/>
      <c r="Z211" s="239"/>
      <c r="AA211" s="239"/>
      <c r="AB211" s="239"/>
      <c r="AC211" s="239"/>
    </row>
    <row r="212" spans="1:29" ht="15" customHeight="1">
      <c r="A212" s="611" t="s">
        <v>910</v>
      </c>
      <c r="B212" s="612"/>
      <c r="C212" s="223">
        <f>+B216+C13-C102</f>
        <v>4227294550.0599999</v>
      </c>
      <c r="D212" s="223">
        <f>+C216+D13-D102</f>
        <v>4111225121.5200005</v>
      </c>
      <c r="E212" s="223">
        <f t="shared" ref="E212:N212" si="277">+D216+E13-E102</f>
        <v>4727115781.4300003</v>
      </c>
      <c r="F212" s="223">
        <f t="shared" si="277"/>
        <v>7441365395.6975002</v>
      </c>
      <c r="G212" s="223">
        <f t="shared" si="277"/>
        <v>3476761251.3593044</v>
      </c>
      <c r="H212" s="223">
        <f t="shared" si="277"/>
        <v>3480684756.3151665</v>
      </c>
      <c r="I212" s="223">
        <f t="shared" si="277"/>
        <v>3519039798.7376099</v>
      </c>
      <c r="J212" s="223">
        <f t="shared" si="277"/>
        <v>3452800534.4771528</v>
      </c>
      <c r="K212" s="223">
        <f t="shared" si="277"/>
        <v>3645314305.029973</v>
      </c>
      <c r="L212" s="223">
        <f t="shared" si="277"/>
        <v>3785630202.0594559</v>
      </c>
      <c r="M212" s="223">
        <f t="shared" si="277"/>
        <v>3917428628.9542866</v>
      </c>
      <c r="N212" s="223">
        <f t="shared" si="277"/>
        <v>4095079596.5508423</v>
      </c>
      <c r="O212" s="223" cm="1">
        <f t="array" ref="O212">O13-O102</f>
        <v>-3055125452.9920425</v>
      </c>
      <c r="P212" s="243"/>
      <c r="Q212" s="239"/>
      <c r="R212" s="239"/>
      <c r="S212" s="239"/>
      <c r="T212" s="239"/>
      <c r="U212" s="239"/>
      <c r="V212" s="239"/>
      <c r="W212" s="239"/>
      <c r="X212" s="239"/>
      <c r="Y212" s="239"/>
      <c r="Z212" s="239"/>
      <c r="AA212" s="239"/>
      <c r="AB212" s="239"/>
      <c r="AC212" s="239"/>
    </row>
    <row r="213" spans="1:29" ht="15" customHeight="1">
      <c r="A213" s="233"/>
      <c r="B213" s="234"/>
      <c r="C213" s="235"/>
      <c r="D213" s="235"/>
      <c r="E213" s="235"/>
      <c r="F213" s="235"/>
      <c r="G213" s="235"/>
      <c r="H213" s="235"/>
      <c r="I213" s="235"/>
      <c r="J213" s="235"/>
      <c r="K213" s="235"/>
      <c r="L213" s="235"/>
      <c r="M213" s="235"/>
      <c r="N213" s="235"/>
      <c r="O213" s="235"/>
      <c r="P213" s="239"/>
      <c r="Q213" s="239"/>
      <c r="R213" s="239"/>
      <c r="S213" s="239"/>
      <c r="T213" s="239"/>
      <c r="U213" s="239"/>
      <c r="V213" s="239"/>
      <c r="W213" s="239"/>
      <c r="X213" s="239"/>
      <c r="Y213" s="239"/>
      <c r="Z213" s="239"/>
      <c r="AA213" s="239"/>
      <c r="AB213" s="239"/>
      <c r="AC213" s="239"/>
    </row>
    <row r="214" spans="1:29" ht="16.5" customHeight="1">
      <c r="A214" s="236"/>
      <c r="B214" s="237"/>
      <c r="C214" s="238"/>
      <c r="D214" s="238"/>
      <c r="E214" s="238"/>
      <c r="F214" s="238"/>
      <c r="G214" s="236"/>
      <c r="H214" s="236"/>
      <c r="I214" s="236"/>
      <c r="J214" s="236"/>
      <c r="K214" s="236"/>
      <c r="L214" s="236"/>
      <c r="M214" s="236"/>
      <c r="N214" s="236"/>
      <c r="O214" s="239"/>
      <c r="P214" s="239"/>
      <c r="Q214" s="239"/>
      <c r="R214" s="239"/>
      <c r="S214" s="239"/>
      <c r="T214" s="239"/>
      <c r="U214" s="239"/>
      <c r="V214" s="239"/>
      <c r="W214" s="239"/>
      <c r="X214" s="239"/>
      <c r="Y214" s="239"/>
      <c r="Z214" s="239"/>
      <c r="AA214" s="239"/>
      <c r="AB214" s="239"/>
      <c r="AC214" s="239"/>
    </row>
    <row r="215" spans="1:29" ht="16.5" customHeight="1">
      <c r="A215" s="240" t="s">
        <v>911</v>
      </c>
      <c r="B215" s="241"/>
      <c r="C215" s="242">
        <f>C216-C226-C229-C230-C232</f>
        <v>1960071847.0800004</v>
      </c>
      <c r="D215" s="242" cm="1">
        <f t="array" ref="D215">D216-D226-D229-D230-D232</f>
        <v>2254092243.0799994</v>
      </c>
      <c r="E215" s="242" cm="1">
        <f t="array" ref="E215">E216-E226-E229-E230-E232</f>
        <v>1920922099.4999998</v>
      </c>
      <c r="F215" s="242" cm="1">
        <f t="array" ref="F215">F216-F226-F229-F230-F232</f>
        <v>2045028729.8866673</v>
      </c>
      <c r="G215" s="242" cm="1">
        <f t="array" ref="G215">G216-G226-G229-G230-G232</f>
        <v>2045028729.8866673</v>
      </c>
      <c r="H215" s="242" cm="1">
        <f t="array" ref="H215">H216-H226-H229-H230-H232</f>
        <v>2045028729.8866673</v>
      </c>
      <c r="I215" s="242" cm="1">
        <f t="array" ref="I215">I216-I226-I229-I230-I232</f>
        <v>2045028729.8866673</v>
      </c>
      <c r="J215" s="242" cm="1">
        <f t="array" ref="J215">J216-J226-J229-J230-J232</f>
        <v>2045028729.8866673</v>
      </c>
      <c r="K215" s="242" cm="1">
        <f t="array" ref="K215">K216-K226-K229-K230-K232</f>
        <v>2045028729.8866673</v>
      </c>
      <c r="L215" s="242" cm="1">
        <f t="array" ref="L215">L216-L226-L229-L230-L232</f>
        <v>2045028729.8866673</v>
      </c>
      <c r="M215" s="242" cm="1">
        <f t="array" ref="M215">M216-M226-M229-M230-M232</f>
        <v>2045028729.8866673</v>
      </c>
      <c r="N215" s="242" cm="1">
        <f t="array" ref="N215">N216-N226-N229-N230-N232</f>
        <v>2045028729.8866673</v>
      </c>
      <c r="O215" s="242" cm="1">
        <f t="array" ref="O215">O216-O226-O229-O230-O232</f>
        <v>0</v>
      </c>
      <c r="P215" s="239"/>
      <c r="Q215" s="239"/>
      <c r="R215" s="239"/>
      <c r="S215" s="239"/>
      <c r="T215" s="239"/>
      <c r="U215" s="239"/>
      <c r="V215" s="239"/>
      <c r="W215" s="239"/>
      <c r="X215" s="239"/>
      <c r="Y215" s="239"/>
      <c r="Z215" s="239"/>
      <c r="AA215" s="239"/>
      <c r="AB215" s="239"/>
      <c r="AC215" s="239"/>
    </row>
    <row r="216" spans="1:29" ht="16.5" customHeight="1">
      <c r="A216" s="240" t="s">
        <v>912</v>
      </c>
      <c r="B216" s="244">
        <v>4615550804</v>
      </c>
      <c r="C216" s="244" cm="1">
        <f t="array" ref="C216">SUM(C217:C232)</f>
        <v>4307514396.8500004</v>
      </c>
      <c r="D216" s="244" cm="1">
        <f t="array" ref="D216">SUM(D217:D232)</f>
        <v>4601721685.2299995</v>
      </c>
      <c r="E216" s="244" cm="1">
        <f t="array" ref="E216">SUM(E217:E232)</f>
        <v>4268758800.9699998</v>
      </c>
      <c r="F216" s="244" cm="1">
        <f t="array" ref="F216">SUM(F217:F232)</f>
        <v>4392664961.0166674</v>
      </c>
      <c r="G216" s="244" cm="1">
        <f t="array" ref="G216">SUM(G217:G232)</f>
        <v>4392664961.0166674</v>
      </c>
      <c r="H216" s="244" cm="1">
        <f t="array" ref="H216">SUM(H217:H232)</f>
        <v>4392664961.0166674</v>
      </c>
      <c r="I216" s="244" cm="1">
        <f t="array" ref="I216">SUM(I217:I232)</f>
        <v>4392664961.0166674</v>
      </c>
      <c r="J216" s="244" cm="1">
        <f t="array" ref="J216">SUM(J217:J232)</f>
        <v>4392664961.0166674</v>
      </c>
      <c r="K216" s="244" cm="1">
        <f t="array" ref="K216">SUM(K217:K232)</f>
        <v>4392664961.0166674</v>
      </c>
      <c r="L216" s="244" cm="1">
        <f t="array" ref="L216">SUM(L217:L232)</f>
        <v>4392664961.0166674</v>
      </c>
      <c r="M216" s="244" cm="1">
        <f t="array" ref="M216">SUM(M217:M232)</f>
        <v>4392664961.0166674</v>
      </c>
      <c r="N216" s="244" cm="1">
        <f t="array" ref="N216">SUM(N217:N232)</f>
        <v>4392664961.0166674</v>
      </c>
      <c r="O216" s="244" cm="1">
        <f t="array" ref="O216">SUM(O217:O232)</f>
        <v>0</v>
      </c>
      <c r="P216" s="239"/>
      <c r="Q216" s="239"/>
      <c r="R216" s="239"/>
      <c r="S216" s="239"/>
      <c r="T216" s="239"/>
      <c r="U216" s="239"/>
      <c r="V216" s="239"/>
      <c r="W216" s="239"/>
      <c r="X216" s="239"/>
      <c r="Y216" s="239"/>
      <c r="Z216" s="239"/>
      <c r="AA216" s="239"/>
      <c r="AB216" s="239"/>
      <c r="AC216" s="239"/>
    </row>
    <row r="217" spans="1:29" ht="16.5" customHeight="1">
      <c r="A217" s="210" t="s">
        <v>913</v>
      </c>
      <c r="B217" s="210" t="s">
        <v>914</v>
      </c>
      <c r="C217" s="364">
        <v>135243540.52000001</v>
      </c>
      <c r="D217" s="364">
        <v>81122449.519999996</v>
      </c>
      <c r="E217" s="364">
        <v>117360155.52</v>
      </c>
      <c r="F217" s="225">
        <f>AVERAGE(C217:E217)</f>
        <v>111242048.52</v>
      </c>
      <c r="G217" s="225">
        <f>AVERAGE(C217:F217)</f>
        <v>111242048.52</v>
      </c>
      <c r="H217" s="225">
        <f>AVERAGE(C217:G217)</f>
        <v>111242048.52000001</v>
      </c>
      <c r="I217" s="225">
        <f>AVERAGE(C217:H217)</f>
        <v>111242048.52</v>
      </c>
      <c r="J217" s="225">
        <f>AVERAGE(C217:I217)</f>
        <v>111242048.52</v>
      </c>
      <c r="K217" s="225">
        <f>AVERAGE(C217:J217)</f>
        <v>111242048.52</v>
      </c>
      <c r="L217" s="225">
        <f>AVERAGE(C217:K217)</f>
        <v>111242048.52</v>
      </c>
      <c r="M217" s="225">
        <f>AVERAGE(C217:L217)</f>
        <v>111242048.52000001</v>
      </c>
      <c r="N217" s="225">
        <f>AVERAGE(C217:M217)</f>
        <v>111242048.52</v>
      </c>
      <c r="O217" s="243"/>
      <c r="P217" s="239"/>
      <c r="Q217" s="239"/>
      <c r="R217" s="239"/>
      <c r="S217" s="239"/>
      <c r="T217" s="239"/>
      <c r="U217" s="239"/>
      <c r="V217" s="239"/>
      <c r="W217" s="239"/>
      <c r="X217" s="239"/>
      <c r="Y217" s="239"/>
      <c r="Z217" s="239"/>
      <c r="AA217" s="239"/>
      <c r="AB217" s="239"/>
      <c r="AC217" s="239"/>
    </row>
    <row r="218" spans="1:29" ht="16.5" customHeight="1">
      <c r="A218" s="210" t="s">
        <v>915</v>
      </c>
      <c r="B218" s="210" t="s">
        <v>916</v>
      </c>
      <c r="C218" s="364">
        <v>106992763.19</v>
      </c>
      <c r="D218" s="364">
        <v>108468863.19</v>
      </c>
      <c r="E218" s="364">
        <v>119943051.19</v>
      </c>
      <c r="F218" s="225">
        <f t="shared" ref="F218:F222" si="278">AVERAGE(C218:E218)</f>
        <v>111801559.19</v>
      </c>
      <c r="G218" s="225">
        <f t="shared" ref="G218:G222" si="279">AVERAGE(C218:F218)</f>
        <v>111801559.19</v>
      </c>
      <c r="H218" s="225">
        <f t="shared" ref="H218:H222" si="280">AVERAGE(C218:G218)</f>
        <v>111801559.19000001</v>
      </c>
      <c r="I218" s="225">
        <f t="shared" ref="I218:I222" si="281">AVERAGE(C218:H218)</f>
        <v>111801559.19000001</v>
      </c>
      <c r="J218" s="225">
        <f t="shared" ref="J218:J222" si="282">AVERAGE(C218:I218)</f>
        <v>111801559.19000003</v>
      </c>
      <c r="K218" s="225">
        <f t="shared" ref="K218:K222" si="283">AVERAGE(C218:J218)</f>
        <v>111801559.19000003</v>
      </c>
      <c r="L218" s="225">
        <f t="shared" ref="L218:L222" si="284">AVERAGE(C218:K218)</f>
        <v>111801559.19000003</v>
      </c>
      <c r="M218" s="225">
        <f t="shared" ref="M218:M222" si="285">AVERAGE(C218:L218)</f>
        <v>111801559.19000003</v>
      </c>
      <c r="N218" s="225">
        <f t="shared" ref="N218:N222" si="286">AVERAGE(C218:M218)</f>
        <v>111801559.19000004</v>
      </c>
      <c r="O218" s="243"/>
      <c r="P218" s="239"/>
      <c r="Q218" s="239"/>
      <c r="R218" s="239"/>
      <c r="S218" s="239"/>
      <c r="T218" s="239"/>
      <c r="U218" s="239"/>
      <c r="V218" s="239"/>
      <c r="W218" s="239"/>
      <c r="X218" s="239"/>
      <c r="Y218" s="239"/>
      <c r="Z218" s="239"/>
      <c r="AA218" s="239"/>
      <c r="AB218" s="239"/>
      <c r="AC218" s="239"/>
    </row>
    <row r="219" spans="1:29" ht="16.5" customHeight="1">
      <c r="A219" s="210" t="s">
        <v>917</v>
      </c>
      <c r="B219" s="210" t="s">
        <v>918</v>
      </c>
      <c r="C219" s="364">
        <v>2924631.65</v>
      </c>
      <c r="D219" s="364">
        <v>2924631.65</v>
      </c>
      <c r="E219" s="364">
        <v>2924631.65</v>
      </c>
      <c r="F219" s="225">
        <f t="shared" si="278"/>
        <v>2924631.65</v>
      </c>
      <c r="G219" s="225">
        <f t="shared" si="279"/>
        <v>2924631.65</v>
      </c>
      <c r="H219" s="225">
        <f t="shared" si="280"/>
        <v>2924631.65</v>
      </c>
      <c r="I219" s="225">
        <f t="shared" si="281"/>
        <v>2924631.65</v>
      </c>
      <c r="J219" s="225">
        <f t="shared" si="282"/>
        <v>2924631.6499999994</v>
      </c>
      <c r="K219" s="225">
        <f t="shared" si="283"/>
        <v>2924631.6499999994</v>
      </c>
      <c r="L219" s="225">
        <f t="shared" si="284"/>
        <v>2924631.6499999994</v>
      </c>
      <c r="M219" s="225">
        <f t="shared" si="285"/>
        <v>2924631.6499999994</v>
      </c>
      <c r="N219" s="225">
        <f t="shared" si="286"/>
        <v>2924631.649999999</v>
      </c>
      <c r="O219" s="243"/>
      <c r="P219" s="239"/>
      <c r="Q219" s="239"/>
      <c r="R219" s="239"/>
      <c r="S219" s="239"/>
      <c r="T219" s="239"/>
      <c r="U219" s="239"/>
      <c r="V219" s="239"/>
      <c r="W219" s="239"/>
      <c r="X219" s="239"/>
      <c r="Y219" s="239"/>
      <c r="Z219" s="239"/>
      <c r="AA219" s="239"/>
      <c r="AB219" s="239"/>
      <c r="AC219" s="239"/>
    </row>
    <row r="220" spans="1:29" ht="16.5" customHeight="1">
      <c r="A220" s="210" t="s">
        <v>919</v>
      </c>
      <c r="B220" s="210" t="s">
        <v>920</v>
      </c>
      <c r="C220" s="364">
        <v>322079.61</v>
      </c>
      <c r="D220" s="364">
        <v>322079.61</v>
      </c>
      <c r="E220" s="364">
        <v>322079.61</v>
      </c>
      <c r="F220" s="225">
        <f t="shared" si="278"/>
        <v>322079.61</v>
      </c>
      <c r="G220" s="225">
        <f t="shared" si="279"/>
        <v>322079.61</v>
      </c>
      <c r="H220" s="225">
        <f t="shared" si="280"/>
        <v>322079.61</v>
      </c>
      <c r="I220" s="225">
        <f t="shared" si="281"/>
        <v>322079.60999999993</v>
      </c>
      <c r="J220" s="225">
        <f t="shared" si="282"/>
        <v>322079.60999999993</v>
      </c>
      <c r="K220" s="225">
        <f t="shared" si="283"/>
        <v>322079.60999999993</v>
      </c>
      <c r="L220" s="225">
        <f t="shared" si="284"/>
        <v>322079.60999999993</v>
      </c>
      <c r="M220" s="225">
        <f t="shared" si="285"/>
        <v>322079.60999999993</v>
      </c>
      <c r="N220" s="225">
        <f t="shared" si="286"/>
        <v>322079.60999999993</v>
      </c>
      <c r="O220" s="243"/>
      <c r="P220" s="239"/>
      <c r="Q220" s="239"/>
      <c r="R220" s="239"/>
      <c r="S220" s="239"/>
      <c r="T220" s="239"/>
      <c r="U220" s="239"/>
      <c r="V220" s="239"/>
      <c r="W220" s="239"/>
      <c r="X220" s="239"/>
      <c r="Y220" s="239"/>
      <c r="Z220" s="239"/>
      <c r="AA220" s="239"/>
      <c r="AB220" s="239"/>
      <c r="AC220" s="239"/>
    </row>
    <row r="221" spans="1:29" ht="16.5" customHeight="1">
      <c r="A221" s="210" t="s">
        <v>921</v>
      </c>
      <c r="B221" s="210" t="s">
        <v>922</v>
      </c>
      <c r="C221" s="364">
        <v>1971322.97</v>
      </c>
      <c r="D221" s="364">
        <v>1971322.97</v>
      </c>
      <c r="E221" s="364">
        <v>1971322.97</v>
      </c>
      <c r="F221" s="225">
        <f t="shared" si="278"/>
        <v>1971322.97</v>
      </c>
      <c r="G221" s="225">
        <f t="shared" si="279"/>
        <v>1971322.97</v>
      </c>
      <c r="H221" s="225">
        <f t="shared" si="280"/>
        <v>1971322.97</v>
      </c>
      <c r="I221" s="225">
        <f t="shared" si="281"/>
        <v>1971322.97</v>
      </c>
      <c r="J221" s="225">
        <f t="shared" si="282"/>
        <v>1971322.9700000002</v>
      </c>
      <c r="K221" s="225">
        <f t="shared" si="283"/>
        <v>1971322.9700000002</v>
      </c>
      <c r="L221" s="225">
        <f t="shared" si="284"/>
        <v>1971322.97</v>
      </c>
      <c r="M221" s="225">
        <f t="shared" si="285"/>
        <v>1971322.97</v>
      </c>
      <c r="N221" s="225">
        <f t="shared" si="286"/>
        <v>1971322.9699999997</v>
      </c>
      <c r="O221" s="243"/>
      <c r="P221" s="239"/>
      <c r="Q221" s="239"/>
      <c r="R221" s="239"/>
      <c r="S221" s="239"/>
      <c r="T221" s="239"/>
      <c r="U221" s="239"/>
      <c r="V221" s="239"/>
      <c r="W221" s="239"/>
      <c r="X221" s="239"/>
      <c r="Y221" s="239"/>
      <c r="Z221" s="239"/>
      <c r="AA221" s="239"/>
      <c r="AB221" s="239"/>
      <c r="AC221" s="239"/>
    </row>
    <row r="222" spans="1:29" ht="16.5" customHeight="1">
      <c r="A222" s="210" t="s">
        <v>923</v>
      </c>
      <c r="B222" s="210" t="s">
        <v>924</v>
      </c>
      <c r="C222" s="364">
        <v>89593712.099999994</v>
      </c>
      <c r="D222" s="364">
        <v>64305355.100000001</v>
      </c>
      <c r="E222" s="364">
        <v>97475668</v>
      </c>
      <c r="F222" s="225">
        <f t="shared" si="278"/>
        <v>83791578.399999991</v>
      </c>
      <c r="G222" s="225">
        <f t="shared" si="279"/>
        <v>83791578.399999991</v>
      </c>
      <c r="H222" s="225">
        <f t="shared" si="280"/>
        <v>83791578.399999991</v>
      </c>
      <c r="I222" s="225">
        <f t="shared" si="281"/>
        <v>83791578.399999991</v>
      </c>
      <c r="J222" s="225">
        <f t="shared" si="282"/>
        <v>83791578.399999991</v>
      </c>
      <c r="K222" s="225">
        <f t="shared" si="283"/>
        <v>83791578.399999991</v>
      </c>
      <c r="L222" s="225">
        <f t="shared" si="284"/>
        <v>83791578.399999991</v>
      </c>
      <c r="M222" s="225">
        <f t="shared" si="285"/>
        <v>83791578.399999991</v>
      </c>
      <c r="N222" s="225">
        <f t="shared" si="286"/>
        <v>83791578.399999991</v>
      </c>
      <c r="O222" s="243"/>
      <c r="P222" s="239"/>
      <c r="Q222" s="239"/>
      <c r="R222" s="239"/>
      <c r="S222" s="239"/>
      <c r="T222" s="239"/>
      <c r="U222" s="239"/>
      <c r="V222" s="239"/>
      <c r="W222" s="239"/>
      <c r="X222" s="239"/>
      <c r="Y222" s="239"/>
      <c r="Z222" s="239"/>
      <c r="AA222" s="239"/>
      <c r="AB222" s="239"/>
      <c r="AC222" s="239"/>
    </row>
    <row r="223" spans="1:29" ht="16.5" customHeight="1">
      <c r="A223" s="210" t="s">
        <v>925</v>
      </c>
      <c r="B223" s="210" t="s">
        <v>926</v>
      </c>
      <c r="C223" s="364">
        <v>476107058.82999998</v>
      </c>
      <c r="D223" s="364">
        <v>519968271.23000002</v>
      </c>
      <c r="E223" s="364">
        <v>311472701.82999998</v>
      </c>
      <c r="F223" s="225">
        <f t="shared" ref="F223:F232" si="287">AVERAGE(C223:E223)</f>
        <v>435849343.96333331</v>
      </c>
      <c r="G223" s="225">
        <f t="shared" ref="G223:G232" si="288">AVERAGE(C223:F223)</f>
        <v>435849343.96333331</v>
      </c>
      <c r="H223" s="225">
        <f t="shared" ref="H223:H232" si="289">AVERAGE(C223:G223)</f>
        <v>435849343.96333331</v>
      </c>
      <c r="I223" s="225">
        <f t="shared" ref="I223:I232" si="290">AVERAGE(C223:H223)</f>
        <v>435849343.96333331</v>
      </c>
      <c r="J223" s="225">
        <f t="shared" ref="J223:J232" si="291">AVERAGE(C223:I223)</f>
        <v>435849343.96333325</v>
      </c>
      <c r="K223" s="225">
        <f t="shared" ref="K223:K232" si="292">AVERAGE(C223:J223)</f>
        <v>435849343.96333325</v>
      </c>
      <c r="L223" s="225">
        <f t="shared" ref="L223:L232" si="293">AVERAGE(C223:K223)</f>
        <v>435849343.96333325</v>
      </c>
      <c r="M223" s="225">
        <f t="shared" ref="M223:M232" si="294">AVERAGE(C223:L223)</f>
        <v>435849343.96333325</v>
      </c>
      <c r="N223" s="225">
        <f t="shared" ref="N223:N232" si="295">AVERAGE(C223:M223)</f>
        <v>435849343.96333319</v>
      </c>
      <c r="O223" s="243"/>
      <c r="P223" s="239"/>
      <c r="Q223" s="239"/>
      <c r="R223" s="239"/>
      <c r="S223" s="239"/>
      <c r="T223" s="239"/>
      <c r="U223" s="239"/>
      <c r="V223" s="239"/>
      <c r="W223" s="239"/>
      <c r="X223" s="239"/>
      <c r="Y223" s="239"/>
      <c r="Z223" s="239"/>
      <c r="AA223" s="239"/>
      <c r="AB223" s="239"/>
      <c r="AC223" s="239"/>
    </row>
    <row r="224" spans="1:29" ht="16.5" customHeight="1">
      <c r="A224" s="210" t="s">
        <v>927</v>
      </c>
      <c r="B224" s="210" t="s">
        <v>928</v>
      </c>
      <c r="C224" s="364">
        <v>269711565.5</v>
      </c>
      <c r="D224" s="364">
        <v>284223196</v>
      </c>
      <c r="E224" s="364">
        <v>321741010.18000001</v>
      </c>
      <c r="F224" s="225">
        <f t="shared" si="287"/>
        <v>291891923.89333338</v>
      </c>
      <c r="G224" s="225">
        <f t="shared" si="288"/>
        <v>291891923.89333338</v>
      </c>
      <c r="H224" s="225">
        <f t="shared" si="289"/>
        <v>291891923.89333338</v>
      </c>
      <c r="I224" s="225">
        <f t="shared" si="290"/>
        <v>291891923.89333338</v>
      </c>
      <c r="J224" s="225">
        <f t="shared" si="291"/>
        <v>291891923.89333338</v>
      </c>
      <c r="K224" s="225">
        <f t="shared" si="292"/>
        <v>291891923.89333338</v>
      </c>
      <c r="L224" s="225">
        <f t="shared" si="293"/>
        <v>291891923.89333338</v>
      </c>
      <c r="M224" s="225">
        <f t="shared" si="294"/>
        <v>291891923.89333338</v>
      </c>
      <c r="N224" s="225">
        <f t="shared" si="295"/>
        <v>291891923.89333338</v>
      </c>
      <c r="O224" s="243"/>
      <c r="P224" s="239"/>
      <c r="Q224" s="239"/>
      <c r="R224" s="239"/>
      <c r="S224" s="239"/>
      <c r="T224" s="239"/>
      <c r="U224" s="239"/>
      <c r="V224" s="239"/>
      <c r="W224" s="239"/>
      <c r="X224" s="239"/>
      <c r="Y224" s="239"/>
      <c r="Z224" s="239"/>
      <c r="AA224" s="239"/>
      <c r="AB224" s="239"/>
      <c r="AC224" s="239"/>
    </row>
    <row r="225" spans="1:29" ht="16.5" customHeight="1">
      <c r="A225" s="210" t="s">
        <v>929</v>
      </c>
      <c r="B225" s="210" t="s">
        <v>930</v>
      </c>
      <c r="C225" s="364">
        <v>83737573.109999999</v>
      </c>
      <c r="D225" s="364">
        <v>88715002.109999999</v>
      </c>
      <c r="E225" s="364">
        <v>94650251.109999999</v>
      </c>
      <c r="F225" s="225">
        <f t="shared" si="287"/>
        <v>89034275.443333328</v>
      </c>
      <c r="G225" s="225">
        <f t="shared" si="288"/>
        <v>89034275.443333328</v>
      </c>
      <c r="H225" s="225">
        <f t="shared" si="289"/>
        <v>89034275.443333328</v>
      </c>
      <c r="I225" s="225">
        <f t="shared" si="290"/>
        <v>89034275.443333328</v>
      </c>
      <c r="J225" s="225">
        <f t="shared" si="291"/>
        <v>89034275.443333313</v>
      </c>
      <c r="K225" s="225">
        <f t="shared" si="292"/>
        <v>89034275.443333313</v>
      </c>
      <c r="L225" s="225">
        <f t="shared" si="293"/>
        <v>89034275.443333313</v>
      </c>
      <c r="M225" s="225">
        <f t="shared" si="294"/>
        <v>89034275.443333298</v>
      </c>
      <c r="N225" s="225">
        <f t="shared" si="295"/>
        <v>89034275.443333298</v>
      </c>
      <c r="O225" s="243"/>
      <c r="P225" s="239"/>
      <c r="Q225" s="239"/>
      <c r="R225" s="239"/>
      <c r="S225" s="239"/>
      <c r="T225" s="239"/>
      <c r="U225" s="239"/>
      <c r="V225" s="239"/>
      <c r="W225" s="239"/>
      <c r="X225" s="239"/>
      <c r="Y225" s="239"/>
      <c r="Z225" s="239"/>
      <c r="AA225" s="239"/>
      <c r="AB225" s="239"/>
      <c r="AC225" s="239"/>
    </row>
    <row r="226" spans="1:29" ht="16.5" customHeight="1">
      <c r="A226" s="245" t="s">
        <v>931</v>
      </c>
      <c r="B226" s="245" t="s">
        <v>932</v>
      </c>
      <c r="C226" s="246">
        <v>31789134</v>
      </c>
      <c r="D226" s="246">
        <v>31789134</v>
      </c>
      <c r="E226" s="246">
        <v>31789134</v>
      </c>
      <c r="F226" s="225">
        <f t="shared" si="287"/>
        <v>31789134</v>
      </c>
      <c r="G226" s="225">
        <f t="shared" si="288"/>
        <v>31789134</v>
      </c>
      <c r="H226" s="225">
        <f t="shared" si="289"/>
        <v>31789134</v>
      </c>
      <c r="I226" s="225">
        <f t="shared" si="290"/>
        <v>31789134</v>
      </c>
      <c r="J226" s="225">
        <f t="shared" si="291"/>
        <v>31789134</v>
      </c>
      <c r="K226" s="225">
        <f t="shared" si="292"/>
        <v>31789134</v>
      </c>
      <c r="L226" s="225">
        <f t="shared" si="293"/>
        <v>31789134</v>
      </c>
      <c r="M226" s="225">
        <f t="shared" si="294"/>
        <v>31789134</v>
      </c>
      <c r="N226" s="225">
        <f t="shared" si="295"/>
        <v>31789134</v>
      </c>
      <c r="O226" s="243"/>
      <c r="P226" s="239"/>
      <c r="Q226" s="239"/>
      <c r="R226" s="239"/>
      <c r="S226" s="239"/>
      <c r="T226" s="239"/>
      <c r="U226" s="239"/>
      <c r="V226" s="239"/>
      <c r="W226" s="239"/>
      <c r="X226" s="239"/>
      <c r="Y226" s="239"/>
      <c r="Z226" s="239"/>
      <c r="AA226" s="239"/>
      <c r="AB226" s="239"/>
      <c r="AC226" s="239"/>
    </row>
    <row r="227" spans="1:29" ht="16.5" customHeight="1">
      <c r="A227" s="210" t="s">
        <v>933</v>
      </c>
      <c r="B227" s="210" t="s">
        <v>934</v>
      </c>
      <c r="C227" s="364">
        <v>268870936.99000001</v>
      </c>
      <c r="D227" s="364">
        <v>574251067.21000004</v>
      </c>
      <c r="E227" s="364">
        <v>321097778.44</v>
      </c>
      <c r="F227" s="225">
        <f t="shared" si="287"/>
        <v>388073260.88000005</v>
      </c>
      <c r="G227" s="225">
        <f t="shared" si="288"/>
        <v>388073260.88000005</v>
      </c>
      <c r="H227" s="225">
        <f t="shared" si="289"/>
        <v>388073260.88000005</v>
      </c>
      <c r="I227" s="225">
        <f t="shared" si="290"/>
        <v>388073260.88000005</v>
      </c>
      <c r="J227" s="225">
        <f t="shared" si="291"/>
        <v>388073260.88000005</v>
      </c>
      <c r="K227" s="225">
        <f t="shared" si="292"/>
        <v>388073260.88000005</v>
      </c>
      <c r="L227" s="225">
        <f t="shared" si="293"/>
        <v>388073260.88000005</v>
      </c>
      <c r="M227" s="225">
        <f t="shared" si="294"/>
        <v>388073260.88000005</v>
      </c>
      <c r="N227" s="225">
        <f t="shared" si="295"/>
        <v>388073260.88000005</v>
      </c>
      <c r="O227" s="243"/>
      <c r="P227" s="239"/>
      <c r="Q227" s="239"/>
      <c r="R227" s="239"/>
      <c r="S227" s="239"/>
      <c r="T227" s="239"/>
      <c r="U227" s="239"/>
      <c r="V227" s="239"/>
      <c r="W227" s="239"/>
      <c r="X227" s="239"/>
      <c r="Y227" s="239"/>
      <c r="Z227" s="239"/>
      <c r="AA227" s="239"/>
      <c r="AB227" s="239"/>
      <c r="AC227" s="239"/>
    </row>
    <row r="228" spans="1:29" ht="16.5" customHeight="1">
      <c r="A228" s="210" t="s">
        <v>935</v>
      </c>
      <c r="B228" s="210" t="s">
        <v>936</v>
      </c>
      <c r="C228" s="364">
        <v>6621553</v>
      </c>
      <c r="D228" s="364">
        <v>6621608</v>
      </c>
      <c r="E228" s="364">
        <v>6621663</v>
      </c>
      <c r="F228" s="225">
        <f t="shared" si="287"/>
        <v>6621608</v>
      </c>
      <c r="G228" s="225">
        <f t="shared" si="288"/>
        <v>6621608</v>
      </c>
      <c r="H228" s="225">
        <f t="shared" si="289"/>
        <v>6621608</v>
      </c>
      <c r="I228" s="225">
        <f t="shared" si="290"/>
        <v>6621608</v>
      </c>
      <c r="J228" s="225">
        <f t="shared" si="291"/>
        <v>6621608</v>
      </c>
      <c r="K228" s="225">
        <f t="shared" si="292"/>
        <v>6621608</v>
      </c>
      <c r="L228" s="225">
        <f t="shared" si="293"/>
        <v>6621608</v>
      </c>
      <c r="M228" s="225">
        <f t="shared" si="294"/>
        <v>6621608</v>
      </c>
      <c r="N228" s="225">
        <f t="shared" si="295"/>
        <v>6621608</v>
      </c>
      <c r="O228" s="243"/>
      <c r="P228" s="239"/>
      <c r="Q228" s="239"/>
      <c r="R228" s="239"/>
      <c r="S228" s="239"/>
      <c r="T228" s="239"/>
      <c r="U228" s="239"/>
      <c r="V228" s="239"/>
      <c r="W228" s="239"/>
      <c r="X228" s="239"/>
      <c r="Y228" s="239"/>
      <c r="Z228" s="239"/>
      <c r="AA228" s="239"/>
      <c r="AB228" s="239"/>
      <c r="AC228" s="239"/>
    </row>
    <row r="229" spans="1:29" ht="16.5" customHeight="1">
      <c r="A229" s="245" t="s">
        <v>937</v>
      </c>
      <c r="B229" s="245" t="s">
        <v>938</v>
      </c>
      <c r="C229" s="246">
        <v>908526</v>
      </c>
      <c r="D229" s="246">
        <v>908526</v>
      </c>
      <c r="E229" s="246">
        <v>908526</v>
      </c>
      <c r="F229" s="225">
        <f t="shared" si="287"/>
        <v>908526</v>
      </c>
      <c r="G229" s="225">
        <f t="shared" si="288"/>
        <v>908526</v>
      </c>
      <c r="H229" s="225">
        <f t="shared" si="289"/>
        <v>908526</v>
      </c>
      <c r="I229" s="225">
        <f t="shared" si="290"/>
        <v>908526</v>
      </c>
      <c r="J229" s="225">
        <f t="shared" si="291"/>
        <v>908526</v>
      </c>
      <c r="K229" s="225">
        <f t="shared" si="292"/>
        <v>908526</v>
      </c>
      <c r="L229" s="225">
        <f t="shared" si="293"/>
        <v>908526</v>
      </c>
      <c r="M229" s="225">
        <f t="shared" si="294"/>
        <v>908526</v>
      </c>
      <c r="N229" s="225">
        <f t="shared" si="295"/>
        <v>908526</v>
      </c>
      <c r="O229" s="243"/>
      <c r="P229" s="239"/>
      <c r="Q229" s="239"/>
      <c r="R229" s="239"/>
      <c r="S229" s="239"/>
      <c r="T229" s="239"/>
      <c r="U229" s="239"/>
      <c r="V229" s="239"/>
      <c r="W229" s="239"/>
      <c r="X229" s="239"/>
      <c r="Y229" s="239"/>
      <c r="Z229" s="239"/>
      <c r="AA229" s="239"/>
      <c r="AB229" s="239"/>
      <c r="AC229" s="239"/>
    </row>
    <row r="230" spans="1:29" ht="16.5" customHeight="1">
      <c r="A230" s="245" t="s">
        <v>939</v>
      </c>
      <c r="B230" s="245" t="s">
        <v>940</v>
      </c>
      <c r="C230" s="246">
        <v>2283902160</v>
      </c>
      <c r="D230" s="246">
        <v>2283902160</v>
      </c>
      <c r="E230" s="246">
        <v>2283902160</v>
      </c>
      <c r="F230" s="225">
        <f t="shared" si="287"/>
        <v>2283902160</v>
      </c>
      <c r="G230" s="225">
        <f t="shared" si="288"/>
        <v>2283902160</v>
      </c>
      <c r="H230" s="225">
        <f t="shared" si="289"/>
        <v>2283902160</v>
      </c>
      <c r="I230" s="225">
        <f t="shared" si="290"/>
        <v>2283902160</v>
      </c>
      <c r="J230" s="225">
        <f t="shared" si="291"/>
        <v>2283902160</v>
      </c>
      <c r="K230" s="225">
        <f t="shared" si="292"/>
        <v>2283902160</v>
      </c>
      <c r="L230" s="225">
        <f t="shared" si="293"/>
        <v>2283902160</v>
      </c>
      <c r="M230" s="225">
        <f t="shared" si="294"/>
        <v>2283902160</v>
      </c>
      <c r="N230" s="225">
        <f t="shared" si="295"/>
        <v>2283902160</v>
      </c>
      <c r="O230" s="243"/>
      <c r="P230" s="239"/>
      <c r="Q230" s="239"/>
      <c r="R230" s="239"/>
      <c r="S230" s="239"/>
      <c r="T230" s="239"/>
      <c r="U230" s="239"/>
      <c r="V230" s="239"/>
      <c r="W230" s="239"/>
      <c r="X230" s="239"/>
      <c r="Y230" s="239"/>
      <c r="Z230" s="239"/>
      <c r="AA230" s="239"/>
      <c r="AB230" s="239"/>
      <c r="AC230" s="239"/>
    </row>
    <row r="231" spans="1:29" ht="16.5" customHeight="1">
      <c r="A231" s="210" t="s">
        <v>941</v>
      </c>
      <c r="B231" s="210" t="s">
        <v>942</v>
      </c>
      <c r="C231" s="364">
        <v>517975109.61000001</v>
      </c>
      <c r="D231" s="364">
        <v>521198396.49000001</v>
      </c>
      <c r="E231" s="364">
        <v>525341786</v>
      </c>
      <c r="F231" s="225">
        <f t="shared" si="287"/>
        <v>521505097.36666662</v>
      </c>
      <c r="G231" s="225">
        <f t="shared" si="288"/>
        <v>521505097.36666662</v>
      </c>
      <c r="H231" s="225">
        <f t="shared" si="289"/>
        <v>521505097.36666662</v>
      </c>
      <c r="I231" s="225">
        <f t="shared" si="290"/>
        <v>521505097.36666662</v>
      </c>
      <c r="J231" s="225">
        <f t="shared" si="291"/>
        <v>521505097.36666667</v>
      </c>
      <c r="K231" s="225">
        <f t="shared" si="292"/>
        <v>521505097.36666667</v>
      </c>
      <c r="L231" s="225">
        <f t="shared" si="293"/>
        <v>521505097.36666667</v>
      </c>
      <c r="M231" s="225">
        <f t="shared" si="294"/>
        <v>521505097.36666667</v>
      </c>
      <c r="N231" s="225">
        <f t="shared" si="295"/>
        <v>521505097.36666673</v>
      </c>
      <c r="O231" s="243"/>
      <c r="P231" s="239"/>
      <c r="Q231" s="239"/>
      <c r="R231" s="239"/>
      <c r="S231" s="239"/>
      <c r="T231" s="239"/>
      <c r="U231" s="239"/>
      <c r="V231" s="239"/>
      <c r="W231" s="239"/>
      <c r="X231" s="239"/>
      <c r="Y231" s="239"/>
      <c r="Z231" s="239"/>
      <c r="AA231" s="239"/>
      <c r="AB231" s="239"/>
      <c r="AC231" s="239"/>
    </row>
    <row r="232" spans="1:29" ht="16.5" customHeight="1">
      <c r="A232" s="245" t="s">
        <v>943</v>
      </c>
      <c r="B232" s="245" t="s">
        <v>944</v>
      </c>
      <c r="C232" s="246">
        <v>30842729.77</v>
      </c>
      <c r="D232" s="246">
        <v>31029622.149999999</v>
      </c>
      <c r="E232" s="246">
        <v>31236881.469999999</v>
      </c>
      <c r="F232" s="225">
        <f t="shared" si="287"/>
        <v>31036411.129999999</v>
      </c>
      <c r="G232" s="225">
        <f t="shared" si="288"/>
        <v>31036411.129999999</v>
      </c>
      <c r="H232" s="225">
        <f t="shared" si="289"/>
        <v>31036411.130000003</v>
      </c>
      <c r="I232" s="225">
        <f t="shared" si="290"/>
        <v>31036411.129999999</v>
      </c>
      <c r="J232" s="225">
        <f t="shared" si="291"/>
        <v>31036411.129999999</v>
      </c>
      <c r="K232" s="225">
        <f t="shared" si="292"/>
        <v>31036411.129999999</v>
      </c>
      <c r="L232" s="225">
        <f t="shared" si="293"/>
        <v>31036411.130000003</v>
      </c>
      <c r="M232" s="225">
        <f t="shared" si="294"/>
        <v>31036411.130000003</v>
      </c>
      <c r="N232" s="225">
        <f t="shared" si="295"/>
        <v>31036411.129999999</v>
      </c>
      <c r="O232" s="243"/>
      <c r="P232" s="239"/>
      <c r="Q232" s="239"/>
      <c r="R232" s="239"/>
      <c r="S232" s="239"/>
      <c r="T232" s="239"/>
      <c r="U232" s="239"/>
      <c r="V232" s="239"/>
      <c r="W232" s="239"/>
      <c r="X232" s="239"/>
      <c r="Y232" s="239"/>
      <c r="Z232" s="239"/>
      <c r="AA232" s="239"/>
      <c r="AB232" s="239"/>
      <c r="AC232" s="239"/>
    </row>
    <row r="233" spans="1:29" ht="16.5" customHeight="1">
      <c r="A233" s="613" t="s">
        <v>945</v>
      </c>
      <c r="B233" s="614"/>
      <c r="C233" s="247">
        <f>+C212</f>
        <v>4227294550.0599999</v>
      </c>
      <c r="D233" s="247">
        <f t="shared" ref="D233:N233" si="296">+D212</f>
        <v>4111225121.5200005</v>
      </c>
      <c r="E233" s="247">
        <f t="shared" si="296"/>
        <v>4727115781.4300003</v>
      </c>
      <c r="F233" s="247">
        <f t="shared" si="296"/>
        <v>7441365395.6975002</v>
      </c>
      <c r="G233" s="247">
        <f t="shared" si="296"/>
        <v>3476761251.3593044</v>
      </c>
      <c r="H233" s="247">
        <f t="shared" si="296"/>
        <v>3480684756.3151665</v>
      </c>
      <c r="I233" s="247">
        <f t="shared" si="296"/>
        <v>3519039798.7376099</v>
      </c>
      <c r="J233" s="247">
        <f t="shared" si="296"/>
        <v>3452800534.4771528</v>
      </c>
      <c r="K233" s="247">
        <f t="shared" si="296"/>
        <v>3645314305.029973</v>
      </c>
      <c r="L233" s="247">
        <f t="shared" si="296"/>
        <v>3785630202.0594559</v>
      </c>
      <c r="M233" s="247">
        <f t="shared" si="296"/>
        <v>3917428628.9542866</v>
      </c>
      <c r="N233" s="247">
        <f t="shared" si="296"/>
        <v>4095079596.5508423</v>
      </c>
      <c r="O233" s="243"/>
      <c r="P233" s="239"/>
      <c r="Q233" s="239"/>
      <c r="R233" s="239"/>
      <c r="S233" s="239"/>
      <c r="T233" s="239"/>
      <c r="U233" s="239"/>
      <c r="V233" s="239"/>
      <c r="W233" s="239"/>
      <c r="X233" s="239"/>
      <c r="Y233" s="239"/>
      <c r="Z233" s="239"/>
      <c r="AA233" s="239"/>
      <c r="AB233" s="239"/>
      <c r="AC233" s="239"/>
    </row>
    <row r="234" spans="1:29" ht="16.5" customHeight="1">
      <c r="A234" s="249"/>
      <c r="B234" s="249"/>
      <c r="C234" s="248"/>
      <c r="D234" s="249"/>
      <c r="E234" s="249"/>
      <c r="F234" s="248"/>
      <c r="G234" s="249"/>
      <c r="H234" s="249"/>
      <c r="I234" s="249"/>
      <c r="J234" s="249"/>
      <c r="K234" s="249"/>
      <c r="L234" s="249"/>
      <c r="M234" s="249"/>
      <c r="N234" s="249"/>
      <c r="O234" s="239"/>
      <c r="P234" s="239"/>
      <c r="Q234" s="239"/>
      <c r="R234" s="239"/>
      <c r="S234" s="239"/>
      <c r="T234" s="239"/>
      <c r="U234" s="239"/>
      <c r="V234" s="239"/>
      <c r="W234" s="239"/>
      <c r="X234" s="239"/>
      <c r="Y234" s="239"/>
      <c r="Z234" s="239"/>
      <c r="AA234" s="239"/>
      <c r="AB234" s="239"/>
      <c r="AC234" s="239"/>
    </row>
    <row r="235" spans="1:29" ht="16.5" customHeight="1">
      <c r="A235" s="239"/>
      <c r="B235" s="239"/>
      <c r="C235" s="250">
        <v>2235481520.71</v>
      </c>
      <c r="D235" s="251">
        <v>4987017778.1999998</v>
      </c>
      <c r="E235" s="251">
        <v>119000000</v>
      </c>
      <c r="F235" s="252" cm="1">
        <f t="array" ref="F235">D235+E235</f>
        <v>5106017778.1999998</v>
      </c>
      <c r="G235" s="250" cm="1">
        <f t="array" ref="G235">F235-C235</f>
        <v>2870536257.4899998</v>
      </c>
      <c r="H235" s="239"/>
      <c r="I235" s="239"/>
      <c r="J235" s="239"/>
      <c r="K235" s="239"/>
      <c r="L235" s="239"/>
      <c r="M235" s="239"/>
      <c r="N235" s="239"/>
      <c r="O235" s="239"/>
      <c r="P235" s="239"/>
      <c r="Q235" s="239"/>
      <c r="R235" s="239"/>
      <c r="S235" s="239"/>
      <c r="T235" s="239"/>
      <c r="U235" s="239"/>
      <c r="V235" s="239"/>
      <c r="W235" s="239"/>
      <c r="X235" s="239"/>
      <c r="Y235" s="239"/>
      <c r="Z235" s="239"/>
      <c r="AA235" s="239"/>
      <c r="AB235" s="239"/>
      <c r="AC235" s="239"/>
    </row>
    <row r="236" spans="1:29" ht="16.5" customHeight="1">
      <c r="A236" s="239"/>
      <c r="B236" s="239"/>
      <c r="C236" s="253">
        <v>2249770440</v>
      </c>
      <c r="D236" s="251">
        <v>2440162464</v>
      </c>
      <c r="E236" s="239"/>
      <c r="F236" s="239"/>
      <c r="G236" s="250" cm="1">
        <f t="array" ref="G236">D236-C236</f>
        <v>190392024</v>
      </c>
      <c r="H236" s="239"/>
      <c r="I236" s="239"/>
      <c r="J236" s="239"/>
      <c r="K236" s="239"/>
      <c r="L236" s="239"/>
      <c r="M236" s="239"/>
      <c r="N236" s="239"/>
      <c r="O236" s="239"/>
      <c r="P236" s="239"/>
      <c r="Q236" s="239"/>
      <c r="R236" s="239"/>
      <c r="S236" s="239"/>
      <c r="T236" s="239"/>
      <c r="U236" s="239"/>
      <c r="V236" s="239"/>
      <c r="W236" s="239"/>
      <c r="X236" s="239"/>
      <c r="Y236" s="239"/>
      <c r="Z236" s="239"/>
      <c r="AA236" s="239"/>
      <c r="AB236" s="239"/>
      <c r="AC236" s="239"/>
    </row>
    <row r="237" spans="1:29" ht="16.5" customHeight="1">
      <c r="A237" s="239"/>
      <c r="B237" s="239"/>
      <c r="C237" s="254" cm="1">
        <f t="array" ref="C237">SUM(C235:C236)</f>
        <v>4485251960.71</v>
      </c>
      <c r="D237" s="243"/>
      <c r="E237" s="239"/>
      <c r="F237" s="239"/>
      <c r="G237" s="250" cm="1">
        <f t="array" ref="G237">G235+G236</f>
        <v>3060928281.4899998</v>
      </c>
      <c r="H237" s="239"/>
      <c r="I237" s="239"/>
      <c r="J237" s="239"/>
      <c r="K237" s="239"/>
      <c r="L237" s="239"/>
      <c r="M237" s="239"/>
      <c r="N237" s="239"/>
      <c r="O237" s="239"/>
      <c r="P237" s="239"/>
      <c r="Q237" s="239"/>
      <c r="R237" s="239"/>
      <c r="S237" s="239"/>
      <c r="T237" s="239"/>
      <c r="U237" s="239"/>
      <c r="V237" s="239"/>
      <c r="W237" s="239"/>
      <c r="X237" s="239"/>
      <c r="Y237" s="239"/>
      <c r="Z237" s="239"/>
      <c r="AA237" s="239"/>
      <c r="AB237" s="239"/>
      <c r="AC237" s="239"/>
    </row>
    <row r="238" spans="1:29" ht="16.5" customHeight="1">
      <c r="A238" s="239"/>
      <c r="B238" s="239"/>
      <c r="C238" s="255" cm="1">
        <f t="array" ref="C238">C237/4</f>
        <v>1121312990.1775</v>
      </c>
      <c r="D238" s="239"/>
      <c r="E238" s="239"/>
      <c r="F238" s="239"/>
      <c r="G238" s="239"/>
      <c r="H238" s="239"/>
      <c r="I238" s="239"/>
      <c r="J238" s="239"/>
      <c r="K238" s="239"/>
      <c r="L238" s="239"/>
      <c r="M238" s="239"/>
      <c r="N238" s="239"/>
      <c r="O238" s="239"/>
      <c r="P238" s="239"/>
      <c r="Q238" s="239"/>
      <c r="R238" s="239"/>
      <c r="S238" s="239"/>
      <c r="T238" s="239"/>
      <c r="U238" s="239"/>
      <c r="V238" s="239"/>
      <c r="W238" s="239"/>
      <c r="X238" s="239"/>
      <c r="Y238" s="239"/>
      <c r="Z238" s="239"/>
      <c r="AA238" s="239"/>
      <c r="AB238" s="239"/>
      <c r="AC238" s="239"/>
    </row>
    <row r="239" spans="1:29" ht="16.5" customHeight="1">
      <c r="A239" s="239"/>
      <c r="B239" s="239"/>
      <c r="C239" s="239"/>
      <c r="D239" s="239"/>
      <c r="E239" s="239"/>
      <c r="F239" s="239"/>
      <c r="G239" s="239"/>
      <c r="H239" s="239"/>
      <c r="I239" s="239"/>
      <c r="J239" s="239"/>
      <c r="K239" s="239"/>
      <c r="L239" s="239"/>
      <c r="M239" s="239"/>
      <c r="N239" s="239"/>
      <c r="O239" s="239"/>
      <c r="P239" s="239"/>
      <c r="Q239" s="239"/>
      <c r="R239" s="239"/>
      <c r="S239" s="239"/>
      <c r="T239" s="239"/>
      <c r="U239" s="239"/>
      <c r="V239" s="239"/>
      <c r="W239" s="239"/>
      <c r="X239" s="239"/>
      <c r="Y239" s="239"/>
      <c r="Z239" s="239"/>
      <c r="AA239" s="239"/>
      <c r="AB239" s="239"/>
      <c r="AC239" s="239"/>
    </row>
    <row r="240" spans="1:29" ht="16.5" customHeight="1">
      <c r="A240" s="239"/>
      <c r="B240" s="239"/>
      <c r="C240" s="252" cm="1">
        <f t="array" ref="C240">C13+D13+E13+F13</f>
        <v>14703931785.337502</v>
      </c>
      <c r="D240" s="239"/>
      <c r="E240" s="239"/>
      <c r="F240" s="239"/>
      <c r="G240" s="239"/>
      <c r="H240" s="239"/>
      <c r="I240" s="239"/>
      <c r="J240" s="239"/>
      <c r="K240" s="239"/>
      <c r="L240" s="239"/>
      <c r="M240" s="239"/>
      <c r="N240" s="239"/>
      <c r="O240" s="239"/>
      <c r="P240" s="239"/>
      <c r="Q240" s="239"/>
      <c r="R240" s="239"/>
      <c r="S240" s="239"/>
      <c r="T240" s="239"/>
      <c r="U240" s="239"/>
      <c r="V240" s="239"/>
      <c r="W240" s="239"/>
      <c r="X240" s="239"/>
      <c r="Y240" s="239"/>
      <c r="Z240" s="239"/>
      <c r="AA240" s="239"/>
      <c r="AB240" s="239"/>
      <c r="AC240" s="239"/>
    </row>
    <row r="241" spans="1:29" ht="16.5" customHeight="1">
      <c r="A241" s="239"/>
      <c r="B241" s="239"/>
      <c r="C241" s="252" cm="1">
        <f t="array" ref="C241">B216</f>
        <v>4615550804</v>
      </c>
      <c r="D241" s="239">
        <v>133</v>
      </c>
      <c r="E241" s="239">
        <v>8</v>
      </c>
      <c r="F241" s="239"/>
      <c r="G241" s="239"/>
      <c r="H241" s="239"/>
      <c r="I241" s="239"/>
      <c r="J241" s="239"/>
      <c r="K241" s="239"/>
      <c r="L241" s="239"/>
      <c r="M241" s="239"/>
      <c r="N241" s="239"/>
      <c r="O241" s="239"/>
      <c r="P241" s="239"/>
      <c r="Q241" s="239"/>
      <c r="R241" s="239"/>
      <c r="S241" s="239"/>
      <c r="T241" s="239"/>
      <c r="U241" s="239"/>
      <c r="V241" s="239"/>
      <c r="W241" s="239"/>
      <c r="X241" s="239"/>
      <c r="Y241" s="239"/>
      <c r="Z241" s="239"/>
      <c r="AA241" s="239"/>
      <c r="AB241" s="239"/>
      <c r="AC241" s="239"/>
    </row>
    <row r="242" spans="1:29" ht="16.5" customHeight="1">
      <c r="A242" s="239"/>
      <c r="B242" s="239"/>
      <c r="C242" s="256" cm="1">
        <f t="array" ref="C242">C241+C240</f>
        <v>19319482589.337502</v>
      </c>
      <c r="D242" s="239"/>
      <c r="E242" s="239">
        <f>+D241/E241</f>
        <v>16.625</v>
      </c>
      <c r="F242" s="239"/>
      <c r="G242" s="239"/>
      <c r="H242" s="239"/>
      <c r="I242" s="239"/>
      <c r="J242" s="239"/>
      <c r="K242" s="239"/>
      <c r="L242" s="239"/>
      <c r="M242" s="239"/>
      <c r="N242" s="239"/>
      <c r="O242" s="239"/>
      <c r="P242" s="239"/>
      <c r="Q242" s="239"/>
      <c r="R242" s="239"/>
      <c r="S242" s="239"/>
      <c r="T242" s="239"/>
      <c r="U242" s="239"/>
      <c r="V242" s="239"/>
      <c r="W242" s="239"/>
      <c r="X242" s="239"/>
      <c r="Y242" s="239"/>
      <c r="Z242" s="239"/>
      <c r="AA242" s="239"/>
      <c r="AB242" s="239"/>
      <c r="AC242" s="239"/>
    </row>
    <row r="243" spans="1:29" ht="16.5" customHeight="1">
      <c r="A243" s="239"/>
      <c r="B243" s="239"/>
      <c r="C243" s="239"/>
      <c r="D243" s="239"/>
      <c r="E243" s="239"/>
      <c r="F243" s="239"/>
      <c r="G243" s="239"/>
      <c r="H243" s="239"/>
      <c r="I243" s="239"/>
      <c r="J243" s="239"/>
      <c r="K243" s="239"/>
      <c r="L243" s="239"/>
      <c r="M243" s="239"/>
      <c r="N243" s="239"/>
      <c r="O243" s="239"/>
      <c r="P243" s="239"/>
      <c r="Q243" s="239"/>
      <c r="R243" s="239"/>
      <c r="S243" s="239"/>
      <c r="T243" s="239"/>
      <c r="U243" s="239"/>
      <c r="V243" s="239"/>
      <c r="W243" s="239"/>
      <c r="X243" s="239"/>
      <c r="Y243" s="239"/>
      <c r="Z243" s="239"/>
      <c r="AA243" s="239"/>
      <c r="AB243" s="239"/>
      <c r="AC243" s="239"/>
    </row>
    <row r="244" spans="1:29" ht="16.5" customHeight="1">
      <c r="A244" s="239"/>
      <c r="B244" s="239"/>
      <c r="C244" s="252" cm="1">
        <f t="array" ref="C244">C102+D102+E102+F102</f>
        <v>11990476623.68</v>
      </c>
      <c r="D244" s="239"/>
      <c r="E244" s="239"/>
      <c r="F244" s="239"/>
      <c r="G244" s="239"/>
      <c r="H244" s="239"/>
      <c r="I244" s="239"/>
      <c r="J244" s="239"/>
      <c r="K244" s="239"/>
      <c r="L244" s="239"/>
      <c r="M244" s="239"/>
      <c r="N244" s="239"/>
      <c r="O244" s="239"/>
      <c r="P244" s="239"/>
      <c r="Q244" s="239"/>
      <c r="R244" s="239"/>
      <c r="S244" s="239"/>
      <c r="T244" s="239"/>
      <c r="U244" s="239"/>
      <c r="V244" s="239"/>
      <c r="W244" s="239"/>
      <c r="X244" s="239"/>
      <c r="Y244" s="239"/>
      <c r="Z244" s="239"/>
      <c r="AA244" s="239"/>
      <c r="AB244" s="239"/>
      <c r="AC244" s="239"/>
    </row>
  </sheetData>
  <mergeCells count="8">
    <mergeCell ref="A212:B212"/>
    <mergeCell ref="A233:B233"/>
    <mergeCell ref="A1:B6"/>
    <mergeCell ref="C1:Z3"/>
    <mergeCell ref="AA1:AB2"/>
    <mergeCell ref="AA3:AB4"/>
    <mergeCell ref="C4:Z6"/>
    <mergeCell ref="AA5:AB6"/>
  </mergeCells>
  <phoneticPr fontId="53" type="noConversion"/>
  <pageMargins left="0.7" right="0.7" top="0.75" bottom="0.75" header="0.3" footer="0.3"/>
  <pageSetup orientation="portrait" r:id="rId1"/>
  <headerFooter>
    <oddFooter>&amp;C&amp;"Helvetica Neue,Regular"&amp;12&amp;K000000&amp;P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331"/>
  <sheetViews>
    <sheetView showGridLines="0" topLeftCell="A10" zoomScale="69" zoomScaleNormal="69" workbookViewId="0">
      <selection activeCell="C19" sqref="C19"/>
    </sheetView>
  </sheetViews>
  <sheetFormatPr baseColWidth="10" defaultColWidth="10.81640625" defaultRowHeight="15" customHeight="1"/>
  <cols>
    <col min="1" max="1" width="15.36328125" style="631" customWidth="1"/>
    <col min="2" max="2" width="99" style="635" customWidth="1"/>
    <col min="3" max="3" width="30.1796875" style="635" customWidth="1"/>
    <col min="4" max="30" width="10.81640625" style="631" customWidth="1"/>
    <col min="31" max="16384" width="10.81640625" style="631"/>
  </cols>
  <sheetData>
    <row r="1" spans="1:29" ht="13.5" customHeight="1">
      <c r="A1" s="684" t="s">
        <v>0</v>
      </c>
      <c r="B1" s="636"/>
      <c r="C1" s="626" t="s">
        <v>1</v>
      </c>
      <c r="D1" s="627"/>
      <c r="E1" s="627"/>
      <c r="F1" s="627"/>
      <c r="G1" s="627"/>
      <c r="H1" s="627"/>
      <c r="I1" s="627"/>
      <c r="J1" s="627"/>
      <c r="K1" s="627"/>
      <c r="L1" s="627"/>
      <c r="M1" s="627"/>
      <c r="N1" s="627"/>
      <c r="O1" s="627"/>
      <c r="P1" s="627"/>
      <c r="Q1" s="627"/>
      <c r="R1" s="627"/>
      <c r="S1" s="627"/>
      <c r="T1" s="627"/>
      <c r="U1" s="627"/>
      <c r="V1" s="627"/>
      <c r="W1" s="627"/>
      <c r="X1" s="627"/>
      <c r="Y1" s="627"/>
      <c r="Z1" s="627"/>
      <c r="AA1" s="685" t="s">
        <v>2</v>
      </c>
      <c r="AB1" s="686"/>
      <c r="AC1" s="647"/>
    </row>
    <row r="2" spans="1:29" ht="15" customHeight="1">
      <c r="A2" s="636"/>
      <c r="B2" s="636"/>
      <c r="C2" s="627"/>
      <c r="D2" s="627"/>
      <c r="E2" s="627"/>
      <c r="F2" s="627"/>
      <c r="G2" s="627"/>
      <c r="H2" s="627"/>
      <c r="I2" s="627"/>
      <c r="J2" s="627"/>
      <c r="K2" s="627"/>
      <c r="L2" s="627"/>
      <c r="M2" s="627"/>
      <c r="N2" s="627"/>
      <c r="O2" s="627"/>
      <c r="P2" s="627"/>
      <c r="Q2" s="627"/>
      <c r="R2" s="627"/>
      <c r="S2" s="627"/>
      <c r="T2" s="627"/>
      <c r="U2" s="627"/>
      <c r="V2" s="627"/>
      <c r="W2" s="627"/>
      <c r="X2" s="627"/>
      <c r="Y2" s="627"/>
      <c r="Z2" s="627"/>
      <c r="AA2" s="686"/>
      <c r="AB2" s="686"/>
      <c r="AC2" s="647"/>
    </row>
    <row r="3" spans="1:29" ht="15" customHeight="1">
      <c r="A3" s="636"/>
      <c r="B3" s="636"/>
      <c r="C3" s="627"/>
      <c r="D3" s="627"/>
      <c r="E3" s="627"/>
      <c r="F3" s="627"/>
      <c r="G3" s="627"/>
      <c r="H3" s="627"/>
      <c r="I3" s="627"/>
      <c r="J3" s="627"/>
      <c r="K3" s="627"/>
      <c r="L3" s="627"/>
      <c r="M3" s="627"/>
      <c r="N3" s="627"/>
      <c r="O3" s="627"/>
      <c r="P3" s="627"/>
      <c r="Q3" s="627"/>
      <c r="R3" s="627"/>
      <c r="S3" s="627"/>
      <c r="T3" s="627"/>
      <c r="U3" s="627"/>
      <c r="V3" s="627"/>
      <c r="W3" s="627"/>
      <c r="X3" s="627"/>
      <c r="Y3" s="627"/>
      <c r="Z3" s="627"/>
      <c r="AA3" s="687" t="s">
        <v>4</v>
      </c>
      <c r="AB3" s="688"/>
      <c r="AC3" s="647"/>
    </row>
    <row r="4" spans="1:29" ht="15" customHeight="1">
      <c r="A4" s="636"/>
      <c r="B4" s="636"/>
      <c r="C4" s="626" t="s">
        <v>3</v>
      </c>
      <c r="D4" s="627"/>
      <c r="E4" s="627"/>
      <c r="F4" s="627"/>
      <c r="G4" s="627"/>
      <c r="H4" s="627"/>
      <c r="I4" s="627"/>
      <c r="J4" s="627"/>
      <c r="K4" s="627"/>
      <c r="L4" s="627"/>
      <c r="M4" s="627"/>
      <c r="N4" s="627"/>
      <c r="O4" s="627"/>
      <c r="P4" s="627"/>
      <c r="Q4" s="627"/>
      <c r="R4" s="627"/>
      <c r="S4" s="627"/>
      <c r="T4" s="627"/>
      <c r="U4" s="627"/>
      <c r="V4" s="627"/>
      <c r="W4" s="627"/>
      <c r="X4" s="627"/>
      <c r="Y4" s="627"/>
      <c r="Z4" s="627"/>
      <c r="AA4" s="688"/>
      <c r="AB4" s="688"/>
      <c r="AC4" s="647"/>
    </row>
    <row r="5" spans="1:29" ht="15" customHeight="1">
      <c r="A5" s="636"/>
      <c r="B5" s="636"/>
      <c r="C5" s="627"/>
      <c r="D5" s="627"/>
      <c r="E5" s="627"/>
      <c r="F5" s="627"/>
      <c r="G5" s="627"/>
      <c r="H5" s="627"/>
      <c r="I5" s="627"/>
      <c r="J5" s="627"/>
      <c r="K5" s="627"/>
      <c r="L5" s="627"/>
      <c r="M5" s="627"/>
      <c r="N5" s="627"/>
      <c r="O5" s="627"/>
      <c r="P5" s="627"/>
      <c r="Q5" s="627"/>
      <c r="R5" s="627"/>
      <c r="S5" s="627"/>
      <c r="T5" s="627"/>
      <c r="U5" s="627"/>
      <c r="V5" s="627"/>
      <c r="W5" s="627"/>
      <c r="X5" s="627"/>
      <c r="Y5" s="627"/>
      <c r="Z5" s="627"/>
      <c r="AA5" s="687" t="s">
        <v>5</v>
      </c>
      <c r="AB5" s="688"/>
      <c r="AC5" s="647"/>
    </row>
    <row r="6" spans="1:29" ht="15" customHeight="1">
      <c r="A6" s="636"/>
      <c r="B6" s="636"/>
      <c r="C6" s="627"/>
      <c r="D6" s="627"/>
      <c r="E6" s="627"/>
      <c r="F6" s="627"/>
      <c r="G6" s="627"/>
      <c r="H6" s="627"/>
      <c r="I6" s="627"/>
      <c r="J6" s="627"/>
      <c r="K6" s="627"/>
      <c r="L6" s="627"/>
      <c r="M6" s="627"/>
      <c r="N6" s="627"/>
      <c r="O6" s="627"/>
      <c r="P6" s="627"/>
      <c r="Q6" s="627"/>
      <c r="R6" s="627"/>
      <c r="S6" s="627"/>
      <c r="T6" s="627"/>
      <c r="U6" s="627"/>
      <c r="V6" s="627"/>
      <c r="W6" s="627"/>
      <c r="X6" s="627"/>
      <c r="Y6" s="627"/>
      <c r="Z6" s="627"/>
      <c r="AA6" s="688"/>
      <c r="AB6" s="688"/>
      <c r="AC6" s="647"/>
    </row>
    <row r="7" spans="1:29" ht="15" customHeight="1">
      <c r="A7" s="629"/>
      <c r="B7" s="633"/>
      <c r="C7" s="689"/>
      <c r="D7" s="690"/>
      <c r="E7" s="690"/>
      <c r="F7" s="690"/>
      <c r="G7" s="690"/>
      <c r="H7" s="690"/>
      <c r="I7" s="690"/>
      <c r="J7" s="690"/>
      <c r="K7" s="690"/>
      <c r="L7" s="690"/>
      <c r="M7" s="690"/>
      <c r="N7" s="690"/>
      <c r="O7" s="690"/>
      <c r="P7" s="690"/>
      <c r="Q7" s="690"/>
      <c r="R7" s="690"/>
      <c r="S7" s="690"/>
      <c r="T7" s="690"/>
      <c r="U7" s="690"/>
      <c r="V7" s="690"/>
      <c r="W7" s="690"/>
      <c r="X7" s="690"/>
      <c r="Y7" s="690"/>
      <c r="Z7" s="690"/>
      <c r="AA7" s="690"/>
      <c r="AB7" s="691"/>
      <c r="AC7" s="647"/>
    </row>
    <row r="8" spans="1:29" ht="15" customHeight="1">
      <c r="A8" s="666" t="s">
        <v>1291</v>
      </c>
      <c r="B8" s="666"/>
      <c r="C8" s="666"/>
      <c r="D8" s="666"/>
      <c r="E8" s="666"/>
      <c r="F8" s="666"/>
      <c r="G8" s="666"/>
      <c r="H8" s="666"/>
      <c r="I8" s="666"/>
      <c r="J8" s="666"/>
      <c r="K8" s="666"/>
      <c r="L8" s="666"/>
      <c r="M8" s="666"/>
      <c r="N8" s="666"/>
      <c r="O8" s="666"/>
      <c r="P8" s="666"/>
      <c r="Q8" s="666"/>
      <c r="R8" s="666"/>
      <c r="S8" s="666"/>
      <c r="T8" s="666"/>
      <c r="U8" s="666"/>
      <c r="V8" s="666"/>
      <c r="W8" s="666"/>
      <c r="X8" s="666"/>
      <c r="Y8" s="666"/>
      <c r="Z8" s="666"/>
      <c r="AA8" s="666"/>
      <c r="AB8" s="666"/>
      <c r="AC8" s="647"/>
    </row>
    <row r="9" spans="1:29" ht="15" customHeight="1">
      <c r="A9" s="666"/>
      <c r="B9" s="666"/>
      <c r="C9" s="666"/>
      <c r="D9" s="666"/>
      <c r="E9" s="666"/>
      <c r="F9" s="666"/>
      <c r="G9" s="666"/>
      <c r="H9" s="666"/>
      <c r="I9" s="666"/>
      <c r="J9" s="666"/>
      <c r="K9" s="666"/>
      <c r="L9" s="666"/>
      <c r="M9" s="666"/>
      <c r="N9" s="666"/>
      <c r="O9" s="666"/>
      <c r="P9" s="666"/>
      <c r="Q9" s="666"/>
      <c r="R9" s="666"/>
      <c r="S9" s="666"/>
      <c r="T9" s="666"/>
      <c r="U9" s="666"/>
      <c r="V9" s="666"/>
      <c r="W9" s="666"/>
      <c r="X9" s="666"/>
      <c r="Y9" s="666"/>
      <c r="Z9" s="666"/>
      <c r="AA9" s="666"/>
      <c r="AB9" s="666"/>
      <c r="AC9" s="647"/>
    </row>
    <row r="10" spans="1:29" ht="15" customHeight="1">
      <c r="A10" s="666"/>
      <c r="B10" s="666"/>
      <c r="C10" s="666"/>
      <c r="D10" s="666"/>
      <c r="E10" s="666"/>
      <c r="F10" s="666"/>
      <c r="G10" s="666"/>
      <c r="H10" s="666"/>
      <c r="I10" s="666"/>
      <c r="J10" s="666"/>
      <c r="K10" s="666"/>
      <c r="L10" s="666"/>
      <c r="M10" s="666"/>
      <c r="N10" s="666"/>
      <c r="O10" s="666"/>
      <c r="P10" s="666"/>
      <c r="Q10" s="666"/>
      <c r="R10" s="666"/>
      <c r="S10" s="666"/>
      <c r="T10" s="666"/>
      <c r="U10" s="666"/>
      <c r="V10" s="666"/>
      <c r="W10" s="666"/>
      <c r="X10" s="666"/>
      <c r="Y10" s="666"/>
      <c r="Z10" s="666"/>
      <c r="AA10" s="666"/>
      <c r="AB10" s="666"/>
      <c r="AC10" s="647"/>
    </row>
    <row r="11" spans="1:29" ht="18" customHeight="1">
      <c r="A11" s="647"/>
      <c r="B11" s="633"/>
      <c r="C11" s="633"/>
      <c r="D11" s="647"/>
      <c r="E11" s="647"/>
      <c r="F11" s="647"/>
      <c r="G11" s="647"/>
      <c r="H11" s="647"/>
      <c r="I11" s="647"/>
      <c r="J11" s="647"/>
      <c r="K11" s="647"/>
      <c r="L11" s="647"/>
      <c r="M11" s="647"/>
      <c r="N11" s="647"/>
      <c r="O11" s="647"/>
      <c r="P11" s="647"/>
      <c r="Q11" s="647"/>
      <c r="R11" s="647"/>
      <c r="S11" s="647"/>
      <c r="T11" s="647"/>
      <c r="U11" s="647"/>
      <c r="V11" s="647"/>
      <c r="W11" s="647"/>
      <c r="X11" s="647"/>
      <c r="Y11" s="647"/>
      <c r="Z11" s="647"/>
      <c r="AA11" s="647"/>
      <c r="AB11" s="647"/>
      <c r="AC11" s="647"/>
    </row>
    <row r="12" spans="1:29" ht="18" customHeight="1">
      <c r="A12" s="651"/>
      <c r="B12" s="693" t="s">
        <v>492</v>
      </c>
      <c r="C12" s="694">
        <f>+C13+C92</f>
        <v>60687426462</v>
      </c>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row>
    <row r="13" spans="1:29" ht="18" customHeight="1">
      <c r="A13" s="651"/>
      <c r="B13" s="638" t="s">
        <v>493</v>
      </c>
      <c r="C13" s="694">
        <f>+C14</f>
        <v>59586426462</v>
      </c>
      <c r="D13" s="647"/>
      <c r="E13" s="647"/>
      <c r="F13" s="647"/>
      <c r="G13" s="647"/>
      <c r="H13" s="647"/>
      <c r="I13" s="647"/>
      <c r="J13" s="647"/>
      <c r="K13" s="647"/>
      <c r="L13" s="647"/>
      <c r="M13" s="647"/>
      <c r="N13" s="647"/>
      <c r="O13" s="647"/>
      <c r="P13" s="647"/>
      <c r="Q13" s="647"/>
      <c r="R13" s="647"/>
      <c r="S13" s="647"/>
      <c r="T13" s="647"/>
      <c r="U13" s="647"/>
      <c r="V13" s="647"/>
      <c r="W13" s="647"/>
      <c r="X13" s="647"/>
      <c r="Y13" s="647"/>
      <c r="Z13" s="647"/>
      <c r="AA13" s="647"/>
      <c r="AB13" s="647"/>
      <c r="AC13" s="647"/>
    </row>
    <row r="14" spans="1:29" ht="18" customHeight="1">
      <c r="A14" s="652"/>
      <c r="B14" s="695" t="s">
        <v>494</v>
      </c>
      <c r="C14" s="694">
        <f>+C15+C63</f>
        <v>59586426462</v>
      </c>
      <c r="D14" s="647"/>
      <c r="E14" s="647"/>
      <c r="F14" s="647"/>
      <c r="G14" s="647"/>
      <c r="H14" s="647"/>
      <c r="I14" s="647"/>
      <c r="J14" s="647"/>
      <c r="K14" s="647"/>
      <c r="L14" s="647"/>
      <c r="M14" s="647"/>
      <c r="N14" s="647"/>
      <c r="O14" s="647"/>
      <c r="P14" s="647"/>
      <c r="Q14" s="647"/>
      <c r="R14" s="647"/>
      <c r="S14" s="647"/>
      <c r="T14" s="647"/>
      <c r="U14" s="647"/>
      <c r="V14" s="647"/>
      <c r="W14" s="647"/>
      <c r="X14" s="647"/>
      <c r="Y14" s="647"/>
      <c r="Z14" s="647"/>
      <c r="AA14" s="647"/>
      <c r="AB14" s="647"/>
      <c r="AC14" s="647"/>
    </row>
    <row r="15" spans="1:29" ht="18" customHeight="1">
      <c r="A15" s="652"/>
      <c r="B15" s="695" t="s">
        <v>495</v>
      </c>
      <c r="C15" s="694">
        <f>+C16</f>
        <v>28039909645</v>
      </c>
      <c r="D15" s="647"/>
      <c r="E15" s="647"/>
      <c r="F15" s="647"/>
      <c r="G15" s="647"/>
      <c r="H15" s="647"/>
      <c r="I15" s="647"/>
      <c r="J15" s="647"/>
      <c r="K15" s="647"/>
      <c r="L15" s="647"/>
      <c r="M15" s="647"/>
      <c r="N15" s="647"/>
      <c r="O15" s="647"/>
      <c r="P15" s="647"/>
      <c r="Q15" s="647"/>
      <c r="R15" s="647"/>
      <c r="S15" s="647"/>
      <c r="T15" s="647"/>
      <c r="U15" s="647"/>
      <c r="V15" s="647"/>
      <c r="W15" s="647"/>
      <c r="X15" s="647"/>
      <c r="Y15" s="647"/>
      <c r="Z15" s="647"/>
      <c r="AA15" s="647"/>
      <c r="AB15" s="647"/>
      <c r="AC15" s="647"/>
    </row>
    <row r="16" spans="1:29" ht="18" customHeight="1">
      <c r="A16" s="652"/>
      <c r="B16" s="695" t="s">
        <v>496</v>
      </c>
      <c r="C16" s="694">
        <f>+C17+C33+C41+C54+C56</f>
        <v>28039909645</v>
      </c>
      <c r="D16" s="647"/>
      <c r="E16" s="647"/>
      <c r="F16" s="647"/>
      <c r="G16" s="647"/>
      <c r="H16" s="647"/>
      <c r="I16" s="647"/>
      <c r="J16" s="647"/>
      <c r="K16" s="647"/>
      <c r="L16" s="647"/>
      <c r="M16" s="647"/>
      <c r="N16" s="647"/>
      <c r="O16" s="647"/>
      <c r="P16" s="647"/>
      <c r="Q16" s="647"/>
      <c r="R16" s="647"/>
      <c r="S16" s="647"/>
      <c r="T16" s="647"/>
      <c r="U16" s="647"/>
      <c r="V16" s="647"/>
      <c r="W16" s="647"/>
      <c r="X16" s="647"/>
      <c r="Y16" s="647"/>
      <c r="Z16" s="647"/>
      <c r="AA16" s="647"/>
      <c r="AB16" s="647"/>
      <c r="AC16" s="647"/>
    </row>
    <row r="17" spans="1:29" ht="20.5">
      <c r="A17" s="653"/>
      <c r="B17" s="695" t="s">
        <v>497</v>
      </c>
      <c r="C17" s="694">
        <f>SUM(C18:C32)</f>
        <v>23939561441</v>
      </c>
      <c r="D17" s="647"/>
      <c r="E17" s="647"/>
      <c r="F17" s="647"/>
      <c r="G17" s="647"/>
      <c r="H17" s="647"/>
      <c r="I17" s="647"/>
      <c r="J17" s="647"/>
      <c r="K17" s="647"/>
      <c r="L17" s="647"/>
      <c r="M17" s="647"/>
      <c r="N17" s="647"/>
      <c r="O17" s="647"/>
      <c r="P17" s="647"/>
      <c r="Q17" s="647"/>
      <c r="R17" s="647"/>
      <c r="S17" s="647"/>
      <c r="T17" s="647"/>
      <c r="U17" s="647"/>
      <c r="V17" s="647"/>
      <c r="W17" s="647"/>
      <c r="X17" s="647"/>
      <c r="Y17" s="647"/>
      <c r="Z17" s="647"/>
      <c r="AA17" s="647"/>
      <c r="AB17" s="647"/>
      <c r="AC17" s="647"/>
    </row>
    <row r="18" spans="1:29" ht="36" customHeight="1">
      <c r="A18" s="653"/>
      <c r="B18" s="695" t="s">
        <v>498</v>
      </c>
      <c r="C18" s="694">
        <v>21500000000</v>
      </c>
      <c r="D18" s="647"/>
      <c r="E18" s="647"/>
      <c r="F18" s="647"/>
      <c r="G18" s="647"/>
      <c r="H18" s="647"/>
      <c r="I18" s="647"/>
      <c r="J18" s="647"/>
      <c r="K18" s="647"/>
      <c r="L18" s="647"/>
      <c r="M18" s="647"/>
      <c r="N18" s="647"/>
      <c r="O18" s="647"/>
      <c r="P18" s="647"/>
      <c r="Q18" s="647"/>
      <c r="R18" s="647"/>
      <c r="S18" s="647"/>
      <c r="T18" s="647"/>
      <c r="U18" s="647"/>
      <c r="V18" s="647"/>
      <c r="W18" s="647"/>
      <c r="X18" s="647"/>
      <c r="Y18" s="647"/>
      <c r="Z18" s="647"/>
      <c r="AA18" s="647"/>
      <c r="AB18" s="647"/>
      <c r="AC18" s="647"/>
    </row>
    <row r="19" spans="1:29" ht="36" customHeight="1">
      <c r="A19" s="653"/>
      <c r="B19" s="695" t="s">
        <v>1057</v>
      </c>
      <c r="C19" s="694">
        <v>979000000</v>
      </c>
      <c r="D19" s="647"/>
      <c r="E19" s="647"/>
      <c r="F19" s="647"/>
      <c r="G19" s="647"/>
      <c r="H19" s="647"/>
      <c r="I19" s="647"/>
      <c r="J19" s="647"/>
      <c r="K19" s="647"/>
      <c r="L19" s="647"/>
      <c r="M19" s="647"/>
      <c r="N19" s="647"/>
      <c r="O19" s="647"/>
      <c r="P19" s="647"/>
      <c r="Q19" s="647"/>
      <c r="R19" s="647"/>
      <c r="S19" s="647"/>
      <c r="T19" s="647"/>
      <c r="U19" s="647"/>
      <c r="V19" s="647"/>
      <c r="W19" s="647"/>
      <c r="X19" s="647"/>
      <c r="Y19" s="647"/>
      <c r="Z19" s="647"/>
      <c r="AA19" s="647"/>
      <c r="AB19" s="647"/>
      <c r="AC19" s="647"/>
    </row>
    <row r="20" spans="1:29" ht="36" customHeight="1">
      <c r="A20" s="653"/>
      <c r="B20" s="695" t="s">
        <v>499</v>
      </c>
      <c r="C20" s="694">
        <v>50000000</v>
      </c>
      <c r="D20" s="647"/>
      <c r="E20" s="647"/>
      <c r="F20" s="647"/>
      <c r="G20" s="647"/>
      <c r="H20" s="647"/>
      <c r="I20" s="647"/>
      <c r="J20" s="647"/>
      <c r="K20" s="647"/>
      <c r="L20" s="647"/>
      <c r="M20" s="647"/>
      <c r="N20" s="647"/>
      <c r="O20" s="647"/>
      <c r="P20" s="647"/>
      <c r="Q20" s="647"/>
      <c r="R20" s="647"/>
      <c r="S20" s="647"/>
      <c r="T20" s="647"/>
      <c r="U20" s="647"/>
      <c r="V20" s="647"/>
      <c r="W20" s="647"/>
      <c r="X20" s="647"/>
      <c r="Y20" s="647"/>
      <c r="Z20" s="647"/>
      <c r="AA20" s="647"/>
      <c r="AB20" s="647"/>
      <c r="AC20" s="647"/>
    </row>
    <row r="21" spans="1:29" ht="36" customHeight="1">
      <c r="A21" s="653"/>
      <c r="B21" s="695" t="s">
        <v>500</v>
      </c>
      <c r="C21" s="694">
        <v>110000000</v>
      </c>
      <c r="D21" s="647"/>
      <c r="E21" s="647"/>
      <c r="F21" s="647"/>
      <c r="G21" s="647"/>
      <c r="H21" s="647"/>
      <c r="I21" s="647"/>
      <c r="J21" s="647"/>
      <c r="K21" s="647"/>
      <c r="L21" s="647"/>
      <c r="M21" s="647"/>
      <c r="N21" s="647"/>
      <c r="O21" s="647"/>
      <c r="P21" s="647"/>
      <c r="Q21" s="647"/>
      <c r="R21" s="647"/>
      <c r="S21" s="647"/>
      <c r="T21" s="647"/>
      <c r="U21" s="647"/>
      <c r="V21" s="647"/>
      <c r="W21" s="647"/>
      <c r="X21" s="647"/>
      <c r="Y21" s="647"/>
      <c r="Z21" s="647"/>
      <c r="AA21" s="647"/>
      <c r="AB21" s="647"/>
      <c r="AC21" s="647"/>
    </row>
    <row r="22" spans="1:29" ht="36" customHeight="1">
      <c r="A22" s="653"/>
      <c r="B22" s="695" t="s">
        <v>501</v>
      </c>
      <c r="C22" s="694">
        <v>6000000</v>
      </c>
      <c r="D22" s="647"/>
      <c r="E22" s="647"/>
      <c r="F22" s="647"/>
      <c r="G22" s="647"/>
      <c r="H22" s="647"/>
      <c r="I22" s="647"/>
      <c r="J22" s="647"/>
      <c r="K22" s="647"/>
      <c r="L22" s="647"/>
      <c r="M22" s="647"/>
      <c r="N22" s="647"/>
      <c r="O22" s="647"/>
      <c r="P22" s="647"/>
      <c r="Q22" s="647"/>
      <c r="R22" s="647"/>
      <c r="S22" s="647"/>
      <c r="T22" s="647"/>
      <c r="U22" s="647"/>
      <c r="V22" s="647"/>
      <c r="W22" s="647"/>
      <c r="X22" s="647"/>
      <c r="Y22" s="647"/>
      <c r="Z22" s="647"/>
      <c r="AA22" s="647"/>
      <c r="AB22" s="647"/>
      <c r="AC22" s="647"/>
    </row>
    <row r="23" spans="1:29" ht="36" customHeight="1">
      <c r="A23" s="653"/>
      <c r="B23" s="695" t="s">
        <v>502</v>
      </c>
      <c r="C23" s="694">
        <v>1000</v>
      </c>
      <c r="D23" s="647"/>
      <c r="E23" s="647"/>
      <c r="F23" s="647"/>
      <c r="G23" s="647"/>
      <c r="H23" s="647"/>
      <c r="I23" s="647"/>
      <c r="J23" s="647"/>
      <c r="K23" s="647"/>
      <c r="L23" s="647"/>
      <c r="M23" s="647"/>
      <c r="N23" s="647"/>
      <c r="O23" s="647"/>
      <c r="P23" s="647"/>
      <c r="Q23" s="647"/>
      <c r="R23" s="647"/>
      <c r="S23" s="647"/>
      <c r="T23" s="647"/>
      <c r="U23" s="647"/>
      <c r="V23" s="647"/>
      <c r="W23" s="647"/>
      <c r="X23" s="647"/>
      <c r="Y23" s="647"/>
      <c r="Z23" s="647"/>
      <c r="AA23" s="647"/>
      <c r="AB23" s="647"/>
      <c r="AC23" s="647"/>
    </row>
    <row r="24" spans="1:29" ht="36" customHeight="1">
      <c r="A24" s="653"/>
      <c r="B24" s="695" t="s">
        <v>503</v>
      </c>
      <c r="C24" s="694">
        <v>1035557441</v>
      </c>
      <c r="D24" s="647"/>
      <c r="E24" s="647"/>
      <c r="F24" s="647"/>
      <c r="G24" s="647"/>
      <c r="H24" s="647"/>
      <c r="I24" s="647"/>
      <c r="J24" s="647"/>
      <c r="K24" s="647"/>
      <c r="L24" s="647"/>
      <c r="M24" s="647"/>
      <c r="N24" s="647"/>
      <c r="O24" s="647"/>
      <c r="P24" s="647"/>
      <c r="Q24" s="647"/>
      <c r="R24" s="647"/>
      <c r="S24" s="647"/>
      <c r="T24" s="647"/>
      <c r="U24" s="647"/>
      <c r="V24" s="647"/>
      <c r="W24" s="647"/>
      <c r="X24" s="647"/>
      <c r="Y24" s="647"/>
      <c r="Z24" s="647"/>
      <c r="AA24" s="647"/>
      <c r="AB24" s="647"/>
      <c r="AC24" s="647"/>
    </row>
    <row r="25" spans="1:29" ht="36" customHeight="1">
      <c r="A25" s="653"/>
      <c r="B25" s="695" t="s">
        <v>504</v>
      </c>
      <c r="C25" s="694">
        <v>1000</v>
      </c>
      <c r="D25" s="647"/>
      <c r="E25" s="647"/>
      <c r="F25" s="647"/>
      <c r="G25" s="647"/>
      <c r="H25" s="647"/>
      <c r="I25" s="647"/>
      <c r="J25" s="647"/>
      <c r="K25" s="647"/>
      <c r="L25" s="647"/>
      <c r="M25" s="647"/>
      <c r="N25" s="647"/>
      <c r="O25" s="647"/>
      <c r="P25" s="647"/>
      <c r="Q25" s="647"/>
      <c r="R25" s="647"/>
      <c r="S25" s="647"/>
      <c r="T25" s="647"/>
      <c r="U25" s="647"/>
      <c r="V25" s="647"/>
      <c r="W25" s="647"/>
      <c r="X25" s="647"/>
      <c r="Y25" s="647"/>
      <c r="Z25" s="647"/>
      <c r="AA25" s="647"/>
      <c r="AB25" s="647"/>
      <c r="AC25" s="647"/>
    </row>
    <row r="26" spans="1:29" ht="36" customHeight="1">
      <c r="A26" s="653"/>
      <c r="B26" s="695" t="s">
        <v>505</v>
      </c>
      <c r="C26" s="694">
        <v>1000</v>
      </c>
      <c r="D26" s="647"/>
      <c r="E26" s="647"/>
      <c r="F26" s="647"/>
      <c r="G26" s="647"/>
      <c r="H26" s="647"/>
      <c r="I26" s="647"/>
      <c r="J26" s="647"/>
      <c r="K26" s="647"/>
      <c r="L26" s="647"/>
      <c r="M26" s="647"/>
      <c r="N26" s="647"/>
      <c r="O26" s="647"/>
      <c r="P26" s="647"/>
      <c r="Q26" s="647"/>
      <c r="R26" s="647"/>
      <c r="S26" s="647"/>
      <c r="T26" s="647"/>
      <c r="U26" s="647"/>
      <c r="V26" s="647"/>
      <c r="W26" s="647"/>
      <c r="X26" s="647"/>
      <c r="Y26" s="647"/>
      <c r="Z26" s="647"/>
      <c r="AA26" s="647"/>
      <c r="AB26" s="647"/>
      <c r="AC26" s="647"/>
    </row>
    <row r="27" spans="1:29" ht="36" customHeight="1">
      <c r="A27" s="653"/>
      <c r="B27" s="695" t="s">
        <v>506</v>
      </c>
      <c r="C27" s="694">
        <v>100000000</v>
      </c>
      <c r="D27" s="647"/>
      <c r="E27" s="647"/>
      <c r="F27" s="647"/>
      <c r="G27" s="647"/>
      <c r="H27" s="647"/>
      <c r="I27" s="647"/>
      <c r="J27" s="647"/>
      <c r="K27" s="647"/>
      <c r="L27" s="647"/>
      <c r="M27" s="647"/>
      <c r="N27" s="647"/>
      <c r="O27" s="647"/>
      <c r="P27" s="647"/>
      <c r="Q27" s="647"/>
      <c r="R27" s="647"/>
      <c r="S27" s="647"/>
      <c r="T27" s="647"/>
      <c r="U27" s="647"/>
      <c r="V27" s="647"/>
      <c r="W27" s="647"/>
      <c r="X27" s="647"/>
      <c r="Y27" s="647"/>
      <c r="Z27" s="647"/>
      <c r="AA27" s="647"/>
      <c r="AB27" s="647"/>
      <c r="AC27" s="647"/>
    </row>
    <row r="28" spans="1:29" ht="36" customHeight="1">
      <c r="A28" s="653"/>
      <c r="B28" s="695" t="s">
        <v>507</v>
      </c>
      <c r="C28" s="694">
        <v>2000000</v>
      </c>
      <c r="D28" s="647"/>
      <c r="E28" s="647"/>
      <c r="F28" s="647"/>
      <c r="G28" s="647"/>
      <c r="H28" s="647"/>
      <c r="I28" s="647"/>
      <c r="J28" s="647"/>
      <c r="K28" s="647"/>
      <c r="L28" s="647"/>
      <c r="M28" s="647"/>
      <c r="N28" s="647"/>
      <c r="O28" s="647"/>
      <c r="P28" s="647"/>
      <c r="Q28" s="647"/>
      <c r="R28" s="647"/>
      <c r="S28" s="647"/>
      <c r="T28" s="647"/>
      <c r="U28" s="647"/>
      <c r="V28" s="647"/>
      <c r="W28" s="647"/>
      <c r="X28" s="647"/>
      <c r="Y28" s="647"/>
      <c r="Z28" s="647"/>
      <c r="AA28" s="647"/>
      <c r="AB28" s="647"/>
      <c r="AC28" s="647"/>
    </row>
    <row r="29" spans="1:29" ht="36" customHeight="1">
      <c r="A29" s="653"/>
      <c r="B29" s="695" t="s">
        <v>508</v>
      </c>
      <c r="C29" s="694">
        <v>1000</v>
      </c>
      <c r="D29" s="647"/>
      <c r="E29" s="647"/>
      <c r="F29" s="647"/>
      <c r="G29" s="647"/>
      <c r="H29" s="647"/>
      <c r="I29" s="647"/>
      <c r="J29" s="647"/>
      <c r="K29" s="647"/>
      <c r="L29" s="647"/>
      <c r="M29" s="647"/>
      <c r="N29" s="647"/>
      <c r="O29" s="647"/>
      <c r="P29" s="647"/>
      <c r="Q29" s="647"/>
      <c r="R29" s="647"/>
      <c r="S29" s="647"/>
      <c r="T29" s="647"/>
      <c r="U29" s="647"/>
      <c r="V29" s="647"/>
      <c r="W29" s="647"/>
      <c r="X29" s="647"/>
      <c r="Y29" s="647"/>
      <c r="Z29" s="647"/>
      <c r="AA29" s="647"/>
      <c r="AB29" s="647"/>
      <c r="AC29" s="647"/>
    </row>
    <row r="30" spans="1:29" ht="36" customHeight="1">
      <c r="A30" s="653"/>
      <c r="B30" s="695" t="s">
        <v>509</v>
      </c>
      <c r="C30" s="694">
        <v>150000000</v>
      </c>
      <c r="D30" s="647"/>
      <c r="E30" s="647"/>
      <c r="F30" s="647"/>
      <c r="G30" s="647"/>
      <c r="H30" s="647"/>
      <c r="I30" s="647"/>
      <c r="J30" s="647"/>
      <c r="K30" s="647"/>
      <c r="L30" s="647"/>
      <c r="M30" s="647"/>
      <c r="N30" s="647"/>
      <c r="O30" s="647"/>
      <c r="P30" s="647"/>
      <c r="Q30" s="647"/>
      <c r="R30" s="647"/>
      <c r="S30" s="647"/>
      <c r="T30" s="647"/>
      <c r="U30" s="647"/>
      <c r="V30" s="647"/>
      <c r="W30" s="647"/>
      <c r="X30" s="647"/>
      <c r="Y30" s="647"/>
      <c r="Z30" s="647"/>
      <c r="AA30" s="647"/>
      <c r="AB30" s="647"/>
      <c r="AC30" s="647"/>
    </row>
    <row r="31" spans="1:29" ht="36" customHeight="1">
      <c r="A31" s="653"/>
      <c r="B31" s="695" t="s">
        <v>510</v>
      </c>
      <c r="C31" s="694">
        <v>6000000</v>
      </c>
      <c r="D31" s="647"/>
      <c r="E31" s="647"/>
      <c r="F31" s="647"/>
      <c r="G31" s="647"/>
      <c r="H31" s="647"/>
      <c r="I31" s="647"/>
      <c r="J31" s="647"/>
      <c r="K31" s="647"/>
      <c r="L31" s="647"/>
      <c r="M31" s="647"/>
      <c r="N31" s="647"/>
      <c r="O31" s="647"/>
      <c r="P31" s="647"/>
      <c r="Q31" s="647"/>
      <c r="R31" s="647"/>
      <c r="S31" s="647"/>
      <c r="T31" s="647"/>
      <c r="U31" s="647"/>
      <c r="V31" s="647"/>
      <c r="W31" s="647"/>
      <c r="X31" s="647"/>
      <c r="Y31" s="647"/>
      <c r="Z31" s="647"/>
      <c r="AA31" s="647"/>
      <c r="AB31" s="647"/>
      <c r="AC31" s="647"/>
    </row>
    <row r="32" spans="1:29" ht="36" customHeight="1">
      <c r="A32" s="653"/>
      <c r="B32" s="695" t="s">
        <v>511</v>
      </c>
      <c r="C32" s="694">
        <v>1000000</v>
      </c>
      <c r="D32" s="647"/>
      <c r="E32" s="647"/>
      <c r="F32" s="647"/>
      <c r="G32" s="647"/>
      <c r="H32" s="647"/>
      <c r="I32" s="647"/>
      <c r="J32" s="647"/>
      <c r="K32" s="647"/>
      <c r="L32" s="647"/>
      <c r="M32" s="647"/>
      <c r="N32" s="647"/>
      <c r="O32" s="647"/>
      <c r="P32" s="647"/>
      <c r="Q32" s="647"/>
      <c r="R32" s="647"/>
      <c r="S32" s="647"/>
      <c r="T32" s="647"/>
      <c r="U32" s="647"/>
      <c r="V32" s="647"/>
      <c r="W32" s="647"/>
      <c r="X32" s="647"/>
      <c r="Y32" s="647"/>
      <c r="Z32" s="647"/>
      <c r="AA32" s="647"/>
      <c r="AB32" s="647"/>
      <c r="AC32" s="647"/>
    </row>
    <row r="33" spans="1:29" ht="36" customHeight="1">
      <c r="A33" s="653"/>
      <c r="B33" s="695" t="s">
        <v>1058</v>
      </c>
      <c r="C33" s="694">
        <f>SUM(C34:C40)</f>
        <v>83121109</v>
      </c>
      <c r="D33" s="647"/>
      <c r="E33" s="647"/>
      <c r="F33" s="647"/>
      <c r="G33" s="647"/>
      <c r="H33" s="647"/>
      <c r="I33" s="647"/>
      <c r="J33" s="647"/>
      <c r="K33" s="647"/>
      <c r="L33" s="647"/>
      <c r="M33" s="647"/>
      <c r="N33" s="647"/>
      <c r="O33" s="647"/>
      <c r="P33" s="647"/>
      <c r="Q33" s="647"/>
      <c r="R33" s="647"/>
      <c r="S33" s="647"/>
      <c r="T33" s="647"/>
      <c r="U33" s="647"/>
      <c r="V33" s="647"/>
      <c r="W33" s="647"/>
      <c r="X33" s="647"/>
      <c r="Y33" s="647"/>
      <c r="Z33" s="647"/>
      <c r="AA33" s="647"/>
      <c r="AB33" s="647"/>
      <c r="AC33" s="647"/>
    </row>
    <row r="34" spans="1:29" ht="36" customHeight="1">
      <c r="A34" s="653"/>
      <c r="B34" s="695" t="s">
        <v>1059</v>
      </c>
      <c r="C34" s="694">
        <v>9250852</v>
      </c>
      <c r="D34" s="647"/>
      <c r="E34" s="647"/>
      <c r="F34" s="647"/>
      <c r="G34" s="647"/>
      <c r="H34" s="647"/>
      <c r="I34" s="647"/>
      <c r="J34" s="647"/>
      <c r="K34" s="647"/>
      <c r="L34" s="647"/>
      <c r="M34" s="647"/>
      <c r="N34" s="647"/>
      <c r="O34" s="647"/>
      <c r="P34" s="647"/>
      <c r="Q34" s="647"/>
      <c r="R34" s="647"/>
      <c r="S34" s="647"/>
      <c r="T34" s="647"/>
      <c r="U34" s="647"/>
      <c r="V34" s="647"/>
      <c r="W34" s="647"/>
      <c r="X34" s="647"/>
      <c r="Y34" s="647"/>
      <c r="Z34" s="647"/>
      <c r="AA34" s="647"/>
      <c r="AB34" s="647"/>
      <c r="AC34" s="647"/>
    </row>
    <row r="35" spans="1:29" ht="36" customHeight="1">
      <c r="A35" s="653"/>
      <c r="B35" s="695" t="s">
        <v>1060</v>
      </c>
      <c r="C35" s="694">
        <v>14285559</v>
      </c>
      <c r="D35" s="647"/>
      <c r="E35" s="647"/>
      <c r="F35" s="647"/>
      <c r="G35" s="647"/>
      <c r="H35" s="647"/>
      <c r="I35" s="647"/>
      <c r="J35" s="647"/>
      <c r="K35" s="647"/>
      <c r="L35" s="647"/>
      <c r="M35" s="647"/>
      <c r="N35" s="647"/>
      <c r="O35" s="647"/>
      <c r="P35" s="647"/>
      <c r="Q35" s="647"/>
      <c r="R35" s="647"/>
      <c r="S35" s="647"/>
      <c r="T35" s="647"/>
      <c r="U35" s="647"/>
      <c r="V35" s="647"/>
      <c r="W35" s="647"/>
      <c r="X35" s="647"/>
      <c r="Y35" s="647"/>
      <c r="Z35" s="647"/>
      <c r="AA35" s="647"/>
      <c r="AB35" s="647"/>
      <c r="AC35" s="647"/>
    </row>
    <row r="36" spans="1:29" ht="36" customHeight="1">
      <c r="A36" s="653"/>
      <c r="B36" s="695" t="s">
        <v>1061</v>
      </c>
      <c r="C36" s="694">
        <v>6120000</v>
      </c>
      <c r="D36" s="647"/>
      <c r="E36" s="647"/>
      <c r="F36" s="647"/>
      <c r="G36" s="647"/>
      <c r="H36" s="647"/>
      <c r="I36" s="647"/>
      <c r="J36" s="647"/>
      <c r="K36" s="647"/>
      <c r="L36" s="647"/>
      <c r="M36" s="647"/>
      <c r="N36" s="647"/>
      <c r="O36" s="647"/>
      <c r="P36" s="647"/>
      <c r="Q36" s="647"/>
      <c r="R36" s="647"/>
      <c r="S36" s="647"/>
      <c r="T36" s="647"/>
      <c r="U36" s="647"/>
      <c r="V36" s="647"/>
      <c r="W36" s="647"/>
      <c r="X36" s="647"/>
      <c r="Y36" s="647"/>
      <c r="Z36" s="647"/>
      <c r="AA36" s="647"/>
      <c r="AB36" s="647"/>
      <c r="AC36" s="647"/>
    </row>
    <row r="37" spans="1:29" ht="36" customHeight="1">
      <c r="A37" s="653"/>
      <c r="B37" s="695" t="s">
        <v>1062</v>
      </c>
      <c r="C37" s="694">
        <v>13625415</v>
      </c>
      <c r="D37" s="647"/>
      <c r="E37" s="647"/>
      <c r="F37" s="647"/>
      <c r="G37" s="647"/>
      <c r="H37" s="647"/>
      <c r="I37" s="647"/>
      <c r="J37" s="647"/>
      <c r="K37" s="647"/>
      <c r="L37" s="647"/>
      <c r="M37" s="647"/>
      <c r="N37" s="647"/>
      <c r="O37" s="647"/>
      <c r="P37" s="647"/>
      <c r="Q37" s="647"/>
      <c r="R37" s="647"/>
      <c r="S37" s="647"/>
      <c r="T37" s="647"/>
      <c r="U37" s="647"/>
      <c r="V37" s="647"/>
      <c r="W37" s="647"/>
      <c r="X37" s="647"/>
      <c r="Y37" s="647"/>
      <c r="Z37" s="647"/>
      <c r="AA37" s="647"/>
      <c r="AB37" s="647"/>
      <c r="AC37" s="647"/>
    </row>
    <row r="38" spans="1:29" ht="36" customHeight="1">
      <c r="A38" s="653"/>
      <c r="B38" s="695" t="s">
        <v>1063</v>
      </c>
      <c r="C38" s="694">
        <v>12557702</v>
      </c>
      <c r="D38" s="647"/>
      <c r="E38" s="647"/>
      <c r="F38" s="647"/>
      <c r="G38" s="647"/>
      <c r="H38" s="647"/>
      <c r="I38" s="647"/>
      <c r="J38" s="647"/>
      <c r="K38" s="647"/>
      <c r="L38" s="647"/>
      <c r="M38" s="647"/>
      <c r="N38" s="647"/>
      <c r="O38" s="647"/>
      <c r="P38" s="647"/>
      <c r="Q38" s="647"/>
      <c r="R38" s="647"/>
      <c r="S38" s="647"/>
      <c r="T38" s="647"/>
      <c r="U38" s="647"/>
      <c r="V38" s="647"/>
      <c r="W38" s="647"/>
      <c r="X38" s="647"/>
      <c r="Y38" s="647"/>
      <c r="Z38" s="647"/>
      <c r="AA38" s="647"/>
      <c r="AB38" s="647"/>
      <c r="AC38" s="647"/>
    </row>
    <row r="39" spans="1:29" ht="36" customHeight="1">
      <c r="A39" s="653"/>
      <c r="B39" s="695" t="s">
        <v>1064</v>
      </c>
      <c r="C39" s="694">
        <v>12887581</v>
      </c>
      <c r="D39" s="647"/>
      <c r="E39" s="647"/>
      <c r="F39" s="647"/>
      <c r="G39" s="647"/>
      <c r="H39" s="647"/>
      <c r="I39" s="647"/>
      <c r="J39" s="647"/>
      <c r="K39" s="647"/>
      <c r="L39" s="647"/>
      <c r="M39" s="647"/>
      <c r="N39" s="647"/>
      <c r="O39" s="647"/>
      <c r="P39" s="647"/>
      <c r="Q39" s="647"/>
      <c r="R39" s="647"/>
      <c r="S39" s="647"/>
      <c r="T39" s="647"/>
      <c r="U39" s="647"/>
      <c r="V39" s="647"/>
      <c r="W39" s="647"/>
      <c r="X39" s="647"/>
      <c r="Y39" s="647"/>
      <c r="Z39" s="647"/>
      <c r="AA39" s="647"/>
      <c r="AB39" s="647"/>
      <c r="AC39" s="647"/>
    </row>
    <row r="40" spans="1:29" ht="36" customHeight="1">
      <c r="A40" s="653"/>
      <c r="B40" s="695" t="s">
        <v>1065</v>
      </c>
      <c r="C40" s="694">
        <v>14394000</v>
      </c>
      <c r="D40" s="647"/>
      <c r="E40" s="647"/>
      <c r="F40" s="647"/>
      <c r="G40" s="647"/>
      <c r="H40" s="647"/>
      <c r="I40" s="647"/>
      <c r="J40" s="647"/>
      <c r="K40" s="647"/>
      <c r="L40" s="647"/>
      <c r="M40" s="647"/>
      <c r="N40" s="647"/>
      <c r="O40" s="647"/>
      <c r="P40" s="647"/>
      <c r="Q40" s="647"/>
      <c r="R40" s="647"/>
      <c r="S40" s="647"/>
      <c r="T40" s="647"/>
      <c r="U40" s="647"/>
      <c r="V40" s="647"/>
      <c r="W40" s="647"/>
      <c r="X40" s="647"/>
      <c r="Y40" s="647"/>
      <c r="Z40" s="647"/>
      <c r="AA40" s="647"/>
      <c r="AB40" s="647"/>
      <c r="AC40" s="647"/>
    </row>
    <row r="41" spans="1:29" ht="36" customHeight="1">
      <c r="A41" s="653"/>
      <c r="B41" s="695" t="s">
        <v>1066</v>
      </c>
      <c r="C41" s="694">
        <f>SUM(C42:C53)</f>
        <v>10227095</v>
      </c>
      <c r="D41" s="647"/>
      <c r="E41" s="647"/>
      <c r="F41" s="647"/>
      <c r="G41" s="647"/>
      <c r="H41" s="647"/>
      <c r="I41" s="647"/>
      <c r="J41" s="647"/>
      <c r="K41" s="647"/>
      <c r="L41" s="647"/>
      <c r="M41" s="647"/>
      <c r="N41" s="647"/>
      <c r="O41" s="647"/>
      <c r="P41" s="647"/>
      <c r="Q41" s="647"/>
      <c r="R41" s="647"/>
      <c r="S41" s="647"/>
      <c r="T41" s="647"/>
      <c r="U41" s="647"/>
      <c r="V41" s="647"/>
      <c r="W41" s="647"/>
      <c r="X41" s="647"/>
      <c r="Y41" s="647"/>
      <c r="Z41" s="647"/>
      <c r="AA41" s="647"/>
      <c r="AB41" s="647"/>
      <c r="AC41" s="647"/>
    </row>
    <row r="42" spans="1:29" ht="36" customHeight="1">
      <c r="A42" s="653"/>
      <c r="B42" s="695" t="s">
        <v>1067</v>
      </c>
      <c r="C42" s="696">
        <v>1725533</v>
      </c>
      <c r="D42" s="647"/>
      <c r="E42" s="647"/>
      <c r="F42" s="647"/>
      <c r="G42" s="647"/>
      <c r="H42" s="647"/>
      <c r="I42" s="647"/>
      <c r="J42" s="647"/>
      <c r="K42" s="647"/>
      <c r="L42" s="647"/>
      <c r="M42" s="647"/>
      <c r="N42" s="647"/>
      <c r="O42" s="647"/>
      <c r="P42" s="647"/>
      <c r="Q42" s="647"/>
      <c r="R42" s="647"/>
      <c r="S42" s="647"/>
      <c r="T42" s="647"/>
      <c r="U42" s="647"/>
      <c r="V42" s="647"/>
      <c r="W42" s="647"/>
      <c r="X42" s="647"/>
      <c r="Y42" s="647"/>
      <c r="Z42" s="647"/>
      <c r="AA42" s="647"/>
      <c r="AB42" s="647"/>
      <c r="AC42" s="647"/>
    </row>
    <row r="43" spans="1:29" ht="36" customHeight="1">
      <c r="A43" s="653"/>
      <c r="B43" s="695" t="s">
        <v>1068</v>
      </c>
      <c r="C43" s="696">
        <v>1308235</v>
      </c>
      <c r="D43" s="647"/>
      <c r="E43" s="647"/>
      <c r="F43" s="647"/>
      <c r="G43" s="647"/>
      <c r="H43" s="647"/>
      <c r="I43" s="647"/>
      <c r="J43" s="647"/>
      <c r="K43" s="647"/>
      <c r="L43" s="647"/>
      <c r="M43" s="647"/>
      <c r="N43" s="647"/>
      <c r="O43" s="647"/>
      <c r="P43" s="647"/>
      <c r="Q43" s="647"/>
      <c r="R43" s="647"/>
      <c r="S43" s="647"/>
      <c r="T43" s="647"/>
      <c r="U43" s="647"/>
      <c r="V43" s="647"/>
      <c r="W43" s="647"/>
      <c r="X43" s="647"/>
      <c r="Y43" s="647"/>
      <c r="Z43" s="647"/>
      <c r="AA43" s="647"/>
      <c r="AB43" s="647"/>
      <c r="AC43" s="647"/>
    </row>
    <row r="44" spans="1:29" ht="36" customHeight="1">
      <c r="A44" s="653"/>
      <c r="B44" s="695" t="s">
        <v>1069</v>
      </c>
      <c r="C44" s="696">
        <v>562283</v>
      </c>
      <c r="D44" s="647"/>
      <c r="E44" s="647"/>
      <c r="F44" s="647"/>
      <c r="G44" s="647"/>
      <c r="H44" s="647"/>
      <c r="I44" s="647"/>
      <c r="J44" s="647"/>
      <c r="K44" s="647"/>
      <c r="L44" s="647"/>
      <c r="M44" s="647"/>
      <c r="N44" s="647"/>
      <c r="O44" s="647"/>
      <c r="P44" s="647"/>
      <c r="Q44" s="647"/>
      <c r="R44" s="647"/>
      <c r="S44" s="647"/>
      <c r="T44" s="647"/>
      <c r="U44" s="647"/>
      <c r="V44" s="647"/>
      <c r="W44" s="647"/>
      <c r="X44" s="647"/>
      <c r="Y44" s="647"/>
      <c r="Z44" s="647"/>
      <c r="AA44" s="647"/>
      <c r="AB44" s="647"/>
      <c r="AC44" s="647"/>
    </row>
    <row r="45" spans="1:29" ht="36" customHeight="1">
      <c r="A45" s="653"/>
      <c r="B45" s="695" t="s">
        <v>1070</v>
      </c>
      <c r="C45" s="696">
        <v>308799</v>
      </c>
      <c r="D45" s="647"/>
      <c r="E45" s="647"/>
      <c r="F45" s="647"/>
      <c r="G45" s="647"/>
      <c r="H45" s="647"/>
      <c r="I45" s="647"/>
      <c r="J45" s="647"/>
      <c r="K45" s="647"/>
      <c r="L45" s="647"/>
      <c r="M45" s="647"/>
      <c r="N45" s="647"/>
      <c r="O45" s="647"/>
      <c r="P45" s="647"/>
      <c r="Q45" s="647"/>
      <c r="R45" s="647"/>
      <c r="S45" s="647"/>
      <c r="T45" s="647"/>
      <c r="U45" s="647"/>
      <c r="V45" s="647"/>
      <c r="W45" s="647"/>
      <c r="X45" s="647"/>
      <c r="Y45" s="647"/>
      <c r="Z45" s="647"/>
      <c r="AA45" s="647"/>
      <c r="AB45" s="647"/>
      <c r="AC45" s="647"/>
    </row>
    <row r="46" spans="1:29" ht="36" customHeight="1">
      <c r="A46" s="653"/>
      <c r="B46" s="695" t="s">
        <v>1071</v>
      </c>
      <c r="C46" s="696">
        <v>191372</v>
      </c>
      <c r="D46" s="647"/>
      <c r="E46" s="647"/>
      <c r="F46" s="647"/>
      <c r="G46" s="647"/>
      <c r="H46" s="647"/>
      <c r="I46" s="647"/>
      <c r="J46" s="647"/>
      <c r="K46" s="647"/>
      <c r="L46" s="647"/>
      <c r="M46" s="647"/>
      <c r="N46" s="647"/>
      <c r="O46" s="647"/>
      <c r="P46" s="647"/>
      <c r="Q46" s="647"/>
      <c r="R46" s="647"/>
      <c r="S46" s="647"/>
      <c r="T46" s="647"/>
      <c r="U46" s="647"/>
      <c r="V46" s="647"/>
      <c r="W46" s="647"/>
      <c r="X46" s="647"/>
      <c r="Y46" s="647"/>
      <c r="Z46" s="647"/>
      <c r="AA46" s="647"/>
      <c r="AB46" s="647"/>
      <c r="AC46" s="647"/>
    </row>
    <row r="47" spans="1:29" ht="36" customHeight="1">
      <c r="A47" s="653"/>
      <c r="B47" s="695" t="s">
        <v>1072</v>
      </c>
      <c r="C47" s="696">
        <v>141578</v>
      </c>
      <c r="D47" s="647"/>
      <c r="E47" s="647"/>
      <c r="F47" s="647"/>
      <c r="G47" s="647"/>
      <c r="H47" s="647"/>
      <c r="I47" s="647"/>
      <c r="J47" s="647"/>
      <c r="K47" s="647"/>
      <c r="L47" s="647"/>
      <c r="M47" s="647"/>
      <c r="N47" s="647"/>
      <c r="O47" s="647"/>
      <c r="P47" s="647"/>
      <c r="Q47" s="647"/>
      <c r="R47" s="647"/>
      <c r="S47" s="647"/>
      <c r="T47" s="647"/>
      <c r="U47" s="647"/>
      <c r="V47" s="647"/>
      <c r="W47" s="647"/>
      <c r="X47" s="647"/>
      <c r="Y47" s="647"/>
      <c r="Z47" s="647"/>
      <c r="AA47" s="647"/>
      <c r="AB47" s="647"/>
      <c r="AC47" s="647"/>
    </row>
    <row r="48" spans="1:29" ht="36" customHeight="1">
      <c r="A48" s="653"/>
      <c r="B48" s="695" t="s">
        <v>1073</v>
      </c>
      <c r="C48" s="696">
        <v>419867</v>
      </c>
      <c r="D48" s="647"/>
      <c r="E48" s="647"/>
      <c r="F48" s="647"/>
      <c r="G48" s="647"/>
      <c r="H48" s="647"/>
      <c r="I48" s="647"/>
      <c r="J48" s="647"/>
      <c r="K48" s="647"/>
      <c r="L48" s="647"/>
      <c r="M48" s="647"/>
      <c r="N48" s="647"/>
      <c r="O48" s="647"/>
      <c r="P48" s="647"/>
      <c r="Q48" s="647"/>
      <c r="R48" s="647"/>
      <c r="S48" s="647"/>
      <c r="T48" s="647"/>
      <c r="U48" s="647"/>
      <c r="V48" s="647"/>
      <c r="W48" s="647"/>
      <c r="X48" s="647"/>
      <c r="Y48" s="647"/>
      <c r="Z48" s="647"/>
      <c r="AA48" s="647"/>
      <c r="AB48" s="647"/>
      <c r="AC48" s="647"/>
    </row>
    <row r="49" spans="1:29" ht="36" customHeight="1">
      <c r="A49" s="653"/>
      <c r="B49" s="695" t="s">
        <v>1074</v>
      </c>
      <c r="C49" s="696">
        <v>4934861</v>
      </c>
      <c r="D49" s="647"/>
      <c r="E49" s="647"/>
      <c r="F49" s="647"/>
      <c r="G49" s="647"/>
      <c r="H49" s="647"/>
      <c r="I49" s="647"/>
      <c r="J49" s="647"/>
      <c r="K49" s="647"/>
      <c r="L49" s="647"/>
      <c r="M49" s="647"/>
      <c r="N49" s="647"/>
      <c r="O49" s="647"/>
      <c r="P49" s="647"/>
      <c r="Q49" s="647"/>
      <c r="R49" s="647"/>
      <c r="S49" s="647"/>
      <c r="T49" s="647"/>
      <c r="U49" s="647"/>
      <c r="V49" s="647"/>
      <c r="W49" s="647"/>
      <c r="X49" s="647"/>
      <c r="Y49" s="647"/>
      <c r="Z49" s="647"/>
      <c r="AA49" s="647"/>
      <c r="AB49" s="647"/>
      <c r="AC49" s="647"/>
    </row>
    <row r="50" spans="1:29" ht="36" customHeight="1">
      <c r="A50" s="653"/>
      <c r="B50" s="695" t="s">
        <v>1075</v>
      </c>
      <c r="C50" s="696">
        <v>14530</v>
      </c>
      <c r="D50" s="647"/>
      <c r="E50" s="647"/>
      <c r="F50" s="647"/>
      <c r="G50" s="647"/>
      <c r="H50" s="647"/>
      <c r="I50" s="647"/>
      <c r="J50" s="647"/>
      <c r="K50" s="647"/>
      <c r="L50" s="647"/>
      <c r="M50" s="647"/>
      <c r="N50" s="647"/>
      <c r="O50" s="647"/>
      <c r="P50" s="647"/>
      <c r="Q50" s="647"/>
      <c r="R50" s="647"/>
      <c r="S50" s="647"/>
      <c r="T50" s="647"/>
      <c r="U50" s="647"/>
      <c r="V50" s="647"/>
      <c r="W50" s="647"/>
      <c r="X50" s="647"/>
      <c r="Y50" s="647"/>
      <c r="Z50" s="647"/>
      <c r="AA50" s="647"/>
      <c r="AB50" s="647"/>
      <c r="AC50" s="647"/>
    </row>
    <row r="51" spans="1:29" ht="36" customHeight="1">
      <c r="A51" s="653"/>
      <c r="B51" s="695" t="s">
        <v>1076</v>
      </c>
      <c r="C51" s="696">
        <v>4696</v>
      </c>
      <c r="D51" s="647"/>
      <c r="E51" s="647"/>
      <c r="F51" s="647"/>
      <c r="G51" s="647"/>
      <c r="H51" s="647"/>
      <c r="I51" s="647"/>
      <c r="J51" s="647"/>
      <c r="K51" s="647"/>
      <c r="L51" s="647"/>
      <c r="M51" s="647"/>
      <c r="N51" s="647"/>
      <c r="O51" s="647"/>
      <c r="P51" s="647"/>
      <c r="Q51" s="647"/>
      <c r="R51" s="647"/>
      <c r="S51" s="647"/>
      <c r="T51" s="647"/>
      <c r="U51" s="647"/>
      <c r="V51" s="647"/>
      <c r="W51" s="647"/>
      <c r="X51" s="647"/>
      <c r="Y51" s="647"/>
      <c r="Z51" s="647"/>
      <c r="AA51" s="647"/>
      <c r="AB51" s="647"/>
      <c r="AC51" s="647"/>
    </row>
    <row r="52" spans="1:29" ht="36" customHeight="1">
      <c r="A52" s="653"/>
      <c r="B52" s="695" t="s">
        <v>1077</v>
      </c>
      <c r="C52" s="696">
        <v>237262</v>
      </c>
      <c r="D52" s="647"/>
      <c r="E52" s="647"/>
      <c r="F52" s="647"/>
      <c r="G52" s="647"/>
      <c r="H52" s="647"/>
      <c r="I52" s="647"/>
      <c r="J52" s="647"/>
      <c r="K52" s="647"/>
      <c r="L52" s="647"/>
      <c r="M52" s="647"/>
      <c r="N52" s="647"/>
      <c r="O52" s="647"/>
      <c r="P52" s="647"/>
      <c r="Q52" s="647"/>
      <c r="R52" s="647"/>
      <c r="S52" s="647"/>
      <c r="T52" s="647"/>
      <c r="U52" s="647"/>
      <c r="V52" s="647"/>
      <c r="W52" s="647"/>
      <c r="X52" s="647"/>
      <c r="Y52" s="647"/>
      <c r="Z52" s="647"/>
      <c r="AA52" s="647"/>
      <c r="AB52" s="647"/>
      <c r="AC52" s="647"/>
    </row>
    <row r="53" spans="1:29" ht="36" customHeight="1">
      <c r="A53" s="653"/>
      <c r="B53" s="695" t="s">
        <v>1078</v>
      </c>
      <c r="C53" s="696">
        <v>378079</v>
      </c>
      <c r="D53" s="647"/>
      <c r="E53" s="647"/>
      <c r="F53" s="647"/>
      <c r="G53" s="647"/>
      <c r="H53" s="647"/>
      <c r="I53" s="647"/>
      <c r="J53" s="647"/>
      <c r="K53" s="647"/>
      <c r="L53" s="647"/>
      <c r="M53" s="647"/>
      <c r="N53" s="647"/>
      <c r="O53" s="647"/>
      <c r="P53" s="647"/>
      <c r="Q53" s="647"/>
      <c r="R53" s="647"/>
      <c r="S53" s="647"/>
      <c r="T53" s="647"/>
      <c r="U53" s="647"/>
      <c r="V53" s="647"/>
      <c r="W53" s="647"/>
      <c r="X53" s="647"/>
      <c r="Y53" s="647"/>
      <c r="Z53" s="647"/>
      <c r="AA53" s="647"/>
      <c r="AB53" s="647"/>
      <c r="AC53" s="647"/>
    </row>
    <row r="54" spans="1:29" ht="36" customHeight="1">
      <c r="A54" s="653"/>
      <c r="B54" s="695" t="s">
        <v>1080</v>
      </c>
      <c r="C54" s="696">
        <f>+C55</f>
        <v>54000000</v>
      </c>
      <c r="D54" s="647"/>
      <c r="E54" s="647"/>
      <c r="F54" s="647"/>
      <c r="G54" s="647"/>
      <c r="H54" s="647"/>
      <c r="I54" s="647"/>
      <c r="J54" s="647"/>
      <c r="K54" s="647"/>
      <c r="L54" s="647"/>
      <c r="M54" s="647"/>
      <c r="N54" s="647"/>
      <c r="O54" s="647"/>
      <c r="P54" s="647"/>
      <c r="Q54" s="647"/>
      <c r="R54" s="647"/>
      <c r="S54" s="647"/>
      <c r="T54" s="647"/>
      <c r="U54" s="647"/>
      <c r="V54" s="647"/>
      <c r="W54" s="647"/>
      <c r="X54" s="647"/>
      <c r="Y54" s="647"/>
      <c r="Z54" s="647"/>
      <c r="AA54" s="647"/>
      <c r="AB54" s="647"/>
      <c r="AC54" s="647"/>
    </row>
    <row r="55" spans="1:29" ht="36" customHeight="1">
      <c r="A55" s="653"/>
      <c r="B55" s="695" t="s">
        <v>1079</v>
      </c>
      <c r="C55" s="696">
        <v>54000000</v>
      </c>
      <c r="D55" s="647"/>
      <c r="E55" s="647"/>
      <c r="F55" s="647"/>
      <c r="G55" s="647"/>
      <c r="H55" s="647"/>
      <c r="I55" s="647"/>
      <c r="J55" s="647"/>
      <c r="K55" s="647"/>
      <c r="L55" s="647"/>
      <c r="M55" s="647"/>
      <c r="N55" s="647"/>
      <c r="O55" s="647"/>
      <c r="P55" s="647"/>
      <c r="Q55" s="647"/>
      <c r="R55" s="647"/>
      <c r="S55" s="647"/>
      <c r="T55" s="647"/>
      <c r="U55" s="647"/>
      <c r="V55" s="647"/>
      <c r="W55" s="647"/>
      <c r="X55" s="647"/>
      <c r="Y55" s="647"/>
      <c r="Z55" s="647"/>
      <c r="AA55" s="647"/>
      <c r="AB55" s="647"/>
      <c r="AC55" s="647"/>
    </row>
    <row r="56" spans="1:29" ht="36" customHeight="1">
      <c r="A56" s="653"/>
      <c r="B56" s="695" t="s">
        <v>1081</v>
      </c>
      <c r="C56" s="696">
        <f>SUM(C57:C62)</f>
        <v>3953000000</v>
      </c>
      <c r="D56" s="647"/>
      <c r="E56" s="647"/>
      <c r="F56" s="647"/>
      <c r="G56" s="647"/>
      <c r="H56" s="647"/>
      <c r="I56" s="647"/>
      <c r="J56" s="647"/>
      <c r="K56" s="647"/>
      <c r="L56" s="647"/>
      <c r="M56" s="647"/>
      <c r="N56" s="647"/>
      <c r="O56" s="647"/>
      <c r="P56" s="647"/>
      <c r="Q56" s="647"/>
      <c r="R56" s="647"/>
      <c r="S56" s="647"/>
      <c r="T56" s="647"/>
      <c r="U56" s="647"/>
      <c r="V56" s="647"/>
      <c r="W56" s="647"/>
      <c r="X56" s="647"/>
      <c r="Y56" s="647"/>
      <c r="Z56" s="647"/>
      <c r="AA56" s="647"/>
      <c r="AB56" s="647"/>
      <c r="AC56" s="647"/>
    </row>
    <row r="57" spans="1:29" ht="36" customHeight="1">
      <c r="A57" s="653"/>
      <c r="B57" s="695" t="s">
        <v>1082</v>
      </c>
      <c r="C57" s="696">
        <v>121000000</v>
      </c>
      <c r="D57" s="647"/>
      <c r="E57" s="647"/>
      <c r="F57" s="647"/>
      <c r="G57" s="647"/>
      <c r="H57" s="647"/>
      <c r="I57" s="647"/>
      <c r="J57" s="647"/>
      <c r="K57" s="647"/>
      <c r="L57" s="647"/>
      <c r="M57" s="647"/>
      <c r="N57" s="647"/>
      <c r="O57" s="647"/>
      <c r="P57" s="647"/>
      <c r="Q57" s="647"/>
      <c r="R57" s="647"/>
      <c r="S57" s="647"/>
      <c r="T57" s="647"/>
      <c r="U57" s="647"/>
      <c r="V57" s="647"/>
      <c r="W57" s="647"/>
      <c r="X57" s="647"/>
      <c r="Y57" s="647"/>
      <c r="Z57" s="647"/>
      <c r="AA57" s="647"/>
      <c r="AB57" s="647"/>
      <c r="AC57" s="647"/>
    </row>
    <row r="58" spans="1:29" ht="36" customHeight="1">
      <c r="A58" s="653"/>
      <c r="B58" s="695" t="s">
        <v>1083</v>
      </c>
      <c r="C58" s="696">
        <v>42000000</v>
      </c>
      <c r="D58" s="647"/>
      <c r="E58" s="647"/>
      <c r="F58" s="647"/>
      <c r="G58" s="647"/>
      <c r="H58" s="647"/>
      <c r="I58" s="647"/>
      <c r="J58" s="647"/>
      <c r="K58" s="647"/>
      <c r="L58" s="647"/>
      <c r="M58" s="647"/>
      <c r="N58" s="647"/>
      <c r="O58" s="647"/>
      <c r="P58" s="647"/>
      <c r="Q58" s="647"/>
      <c r="R58" s="647"/>
      <c r="S58" s="647"/>
      <c r="T58" s="647"/>
      <c r="U58" s="647"/>
      <c r="V58" s="647"/>
      <c r="W58" s="647"/>
      <c r="X58" s="647"/>
      <c r="Y58" s="647"/>
      <c r="Z58" s="647"/>
      <c r="AA58" s="647"/>
      <c r="AB58" s="647"/>
      <c r="AC58" s="647"/>
    </row>
    <row r="59" spans="1:29" ht="36" customHeight="1">
      <c r="A59" s="653"/>
      <c r="B59" s="695" t="s">
        <v>1084</v>
      </c>
      <c r="C59" s="696">
        <v>3500000000</v>
      </c>
      <c r="D59" s="647"/>
      <c r="E59" s="647"/>
      <c r="F59" s="647"/>
      <c r="G59" s="647"/>
      <c r="H59" s="647"/>
      <c r="I59" s="647"/>
      <c r="J59" s="647"/>
      <c r="K59" s="647"/>
      <c r="L59" s="647"/>
      <c r="M59" s="647"/>
      <c r="N59" s="647"/>
      <c r="O59" s="647"/>
      <c r="P59" s="647"/>
      <c r="Q59" s="647"/>
      <c r="R59" s="647"/>
      <c r="S59" s="647"/>
      <c r="T59" s="647"/>
      <c r="U59" s="647"/>
      <c r="V59" s="647"/>
      <c r="W59" s="647"/>
      <c r="X59" s="647"/>
      <c r="Y59" s="647"/>
      <c r="Z59" s="647"/>
      <c r="AA59" s="647"/>
      <c r="AB59" s="647"/>
      <c r="AC59" s="647"/>
    </row>
    <row r="60" spans="1:29" ht="36" customHeight="1">
      <c r="A60" s="653"/>
      <c r="B60" s="695" t="s">
        <v>1085</v>
      </c>
      <c r="C60" s="696">
        <v>40000000</v>
      </c>
      <c r="D60" s="647"/>
      <c r="E60" s="647"/>
      <c r="F60" s="647"/>
      <c r="G60" s="647"/>
      <c r="H60" s="647"/>
      <c r="I60" s="647"/>
      <c r="J60" s="647"/>
      <c r="K60" s="647"/>
      <c r="L60" s="647"/>
      <c r="M60" s="647"/>
      <c r="N60" s="647"/>
      <c r="O60" s="647"/>
      <c r="P60" s="647"/>
      <c r="Q60" s="647"/>
      <c r="R60" s="647"/>
      <c r="S60" s="647"/>
      <c r="T60" s="647"/>
      <c r="U60" s="647"/>
      <c r="V60" s="647"/>
      <c r="W60" s="647"/>
      <c r="X60" s="647"/>
      <c r="Y60" s="647"/>
      <c r="Z60" s="647"/>
      <c r="AA60" s="647"/>
      <c r="AB60" s="647"/>
      <c r="AC60" s="647"/>
    </row>
    <row r="61" spans="1:29" ht="36" customHeight="1">
      <c r="A61" s="653"/>
      <c r="B61" s="695" t="s">
        <v>1086</v>
      </c>
      <c r="C61" s="696">
        <v>150000000</v>
      </c>
      <c r="D61" s="647"/>
      <c r="E61" s="647"/>
      <c r="F61" s="647"/>
      <c r="G61" s="647"/>
      <c r="H61" s="647"/>
      <c r="I61" s="647"/>
      <c r="J61" s="647"/>
      <c r="K61" s="647"/>
      <c r="L61" s="647"/>
      <c r="M61" s="647"/>
      <c r="N61" s="647"/>
      <c r="O61" s="647"/>
      <c r="P61" s="647"/>
      <c r="Q61" s="647"/>
      <c r="R61" s="647"/>
      <c r="S61" s="647"/>
      <c r="T61" s="647"/>
      <c r="U61" s="647"/>
      <c r="V61" s="647"/>
      <c r="W61" s="647"/>
      <c r="X61" s="647"/>
      <c r="Y61" s="647"/>
      <c r="Z61" s="647"/>
      <c r="AA61" s="647"/>
      <c r="AB61" s="647"/>
      <c r="AC61" s="647"/>
    </row>
    <row r="62" spans="1:29" ht="36" customHeight="1">
      <c r="A62" s="653"/>
      <c r="B62" s="695" t="s">
        <v>1087</v>
      </c>
      <c r="C62" s="696">
        <v>100000000</v>
      </c>
      <c r="D62" s="647"/>
      <c r="E62" s="647"/>
      <c r="F62" s="647"/>
      <c r="G62" s="647"/>
      <c r="H62" s="647"/>
      <c r="I62" s="647"/>
      <c r="J62" s="647"/>
      <c r="K62" s="647"/>
      <c r="L62" s="647"/>
      <c r="M62" s="647"/>
      <c r="N62" s="647"/>
      <c r="O62" s="647"/>
      <c r="P62" s="647"/>
      <c r="Q62" s="647"/>
      <c r="R62" s="647"/>
      <c r="S62" s="647"/>
      <c r="T62" s="647"/>
      <c r="U62" s="647"/>
      <c r="V62" s="647"/>
      <c r="W62" s="647"/>
      <c r="X62" s="647"/>
      <c r="Y62" s="647"/>
      <c r="Z62" s="647"/>
      <c r="AA62" s="647"/>
      <c r="AB62" s="647"/>
      <c r="AC62" s="647"/>
    </row>
    <row r="63" spans="1:29" ht="36" customHeight="1">
      <c r="A63" s="653"/>
      <c r="B63" s="695" t="s">
        <v>512</v>
      </c>
      <c r="C63" s="694">
        <f>+C64</f>
        <v>31546516817</v>
      </c>
      <c r="D63" s="647"/>
      <c r="E63" s="647"/>
      <c r="F63" s="647"/>
      <c r="G63" s="647"/>
      <c r="H63" s="647"/>
      <c r="I63" s="647"/>
      <c r="J63" s="647"/>
      <c r="K63" s="647"/>
      <c r="L63" s="647"/>
      <c r="M63" s="647"/>
      <c r="N63" s="647"/>
      <c r="O63" s="647"/>
      <c r="P63" s="647"/>
      <c r="Q63" s="647"/>
      <c r="R63" s="647"/>
      <c r="S63" s="647"/>
      <c r="T63" s="647"/>
      <c r="U63" s="647"/>
      <c r="V63" s="647"/>
      <c r="W63" s="647"/>
      <c r="X63" s="647"/>
      <c r="Y63" s="647"/>
      <c r="Z63" s="647"/>
      <c r="AA63" s="647"/>
      <c r="AB63" s="647"/>
      <c r="AC63" s="647"/>
    </row>
    <row r="64" spans="1:29" ht="36" customHeight="1">
      <c r="A64" s="653"/>
      <c r="B64" s="695" t="s">
        <v>513</v>
      </c>
      <c r="C64" s="694">
        <f>+C65+C69+C77+C90</f>
        <v>31546516817</v>
      </c>
      <c r="D64" s="647"/>
      <c r="E64" s="647"/>
      <c r="F64" s="647"/>
      <c r="G64" s="647"/>
      <c r="H64" s="647"/>
      <c r="I64" s="647"/>
      <c r="J64" s="647"/>
      <c r="K64" s="647"/>
      <c r="L64" s="647"/>
      <c r="M64" s="647"/>
      <c r="N64" s="647"/>
      <c r="O64" s="647"/>
      <c r="P64" s="647"/>
      <c r="Q64" s="647"/>
      <c r="R64" s="647"/>
      <c r="S64" s="647"/>
      <c r="T64" s="647"/>
      <c r="U64" s="647"/>
      <c r="V64" s="647"/>
      <c r="W64" s="647"/>
      <c r="X64" s="647"/>
      <c r="Y64" s="647"/>
      <c r="Z64" s="647"/>
      <c r="AA64" s="647"/>
      <c r="AB64" s="647"/>
      <c r="AC64" s="647"/>
    </row>
    <row r="65" spans="1:29" ht="36" customHeight="1">
      <c r="A65" s="653"/>
      <c r="B65" s="695" t="s">
        <v>514</v>
      </c>
      <c r="C65" s="694">
        <f>SUM(C66:C68)</f>
        <v>28285113120</v>
      </c>
      <c r="D65" s="647"/>
      <c r="E65" s="647"/>
      <c r="F65" s="647"/>
      <c r="G65" s="647"/>
      <c r="H65" s="647"/>
      <c r="I65" s="647"/>
      <c r="J65" s="647"/>
      <c r="K65" s="647"/>
      <c r="L65" s="647"/>
      <c r="M65" s="647"/>
      <c r="N65" s="647"/>
      <c r="O65" s="647"/>
      <c r="P65" s="647"/>
      <c r="Q65" s="647"/>
      <c r="R65" s="647"/>
      <c r="S65" s="647"/>
      <c r="T65" s="647"/>
      <c r="U65" s="647"/>
      <c r="V65" s="647"/>
      <c r="W65" s="647"/>
      <c r="X65" s="647"/>
      <c r="Y65" s="647"/>
      <c r="Z65" s="647"/>
      <c r="AA65" s="647"/>
      <c r="AB65" s="647"/>
      <c r="AC65" s="647"/>
    </row>
    <row r="66" spans="1:29" ht="36" customHeight="1">
      <c r="A66" s="653"/>
      <c r="B66" s="695" t="s">
        <v>1088</v>
      </c>
      <c r="C66" s="694">
        <v>27000000000</v>
      </c>
      <c r="D66" s="647"/>
      <c r="E66" s="647"/>
      <c r="F66" s="647"/>
      <c r="G66" s="647"/>
      <c r="H66" s="647"/>
      <c r="I66" s="647"/>
      <c r="J66" s="647"/>
      <c r="K66" s="647"/>
      <c r="L66" s="647"/>
      <c r="M66" s="647"/>
      <c r="N66" s="647"/>
      <c r="O66" s="647"/>
      <c r="P66" s="647"/>
      <c r="Q66" s="647"/>
      <c r="R66" s="647"/>
      <c r="S66" s="647"/>
      <c r="T66" s="647"/>
      <c r="U66" s="647"/>
      <c r="V66" s="647"/>
      <c r="W66" s="647"/>
      <c r="X66" s="647"/>
      <c r="Y66" s="647"/>
      <c r="Z66" s="647"/>
      <c r="AA66" s="647"/>
      <c r="AB66" s="647"/>
      <c r="AC66" s="647"/>
    </row>
    <row r="67" spans="1:29" ht="36" customHeight="1">
      <c r="A67" s="653"/>
      <c r="B67" s="695" t="s">
        <v>1089</v>
      </c>
      <c r="C67" s="694">
        <v>1235268825</v>
      </c>
      <c r="D67" s="647"/>
      <c r="E67" s="647"/>
      <c r="F67" s="647"/>
      <c r="G67" s="647"/>
      <c r="H67" s="647"/>
      <c r="I67" s="647"/>
      <c r="J67" s="647"/>
      <c r="K67" s="647"/>
      <c r="L67" s="647"/>
      <c r="M67" s="647"/>
      <c r="N67" s="647"/>
      <c r="O67" s="647"/>
      <c r="P67" s="647"/>
      <c r="Q67" s="647"/>
      <c r="R67" s="647"/>
      <c r="S67" s="647"/>
      <c r="T67" s="647"/>
      <c r="U67" s="647"/>
      <c r="V67" s="647"/>
      <c r="W67" s="647"/>
      <c r="X67" s="647"/>
      <c r="Y67" s="647"/>
      <c r="Z67" s="647"/>
      <c r="AA67" s="647"/>
      <c r="AB67" s="647"/>
      <c r="AC67" s="647"/>
    </row>
    <row r="68" spans="1:29" ht="36" customHeight="1">
      <c r="A68" s="653"/>
      <c r="B68" s="695" t="s">
        <v>1090</v>
      </c>
      <c r="C68" s="694">
        <v>49844295</v>
      </c>
      <c r="D68" s="647"/>
      <c r="E68" s="647"/>
      <c r="F68" s="647"/>
      <c r="G68" s="647"/>
      <c r="H68" s="647"/>
      <c r="I68" s="647"/>
      <c r="J68" s="647"/>
      <c r="K68" s="647"/>
      <c r="L68" s="647"/>
      <c r="M68" s="647"/>
      <c r="N68" s="647"/>
      <c r="O68" s="647"/>
      <c r="P68" s="647"/>
      <c r="Q68" s="647"/>
      <c r="R68" s="647"/>
      <c r="S68" s="647"/>
      <c r="T68" s="647"/>
      <c r="U68" s="647"/>
      <c r="V68" s="647"/>
      <c r="W68" s="647"/>
      <c r="X68" s="647"/>
      <c r="Y68" s="647"/>
      <c r="Z68" s="647"/>
      <c r="AA68" s="647"/>
      <c r="AB68" s="647"/>
      <c r="AC68" s="647"/>
    </row>
    <row r="69" spans="1:29" ht="36" customHeight="1">
      <c r="A69" s="653"/>
      <c r="B69" s="695" t="s">
        <v>1094</v>
      </c>
      <c r="C69" s="694">
        <f>SUM(C70:C76)</f>
        <v>144979410</v>
      </c>
      <c r="D69" s="647"/>
      <c r="E69" s="647"/>
      <c r="F69" s="647"/>
      <c r="G69" s="647"/>
      <c r="H69" s="647"/>
      <c r="I69" s="647"/>
      <c r="J69" s="647"/>
      <c r="K69" s="647"/>
      <c r="L69" s="647"/>
      <c r="M69" s="647"/>
      <c r="N69" s="647"/>
      <c r="O69" s="647"/>
      <c r="P69" s="647"/>
      <c r="Q69" s="647"/>
      <c r="R69" s="647"/>
      <c r="S69" s="647"/>
      <c r="T69" s="647"/>
      <c r="U69" s="647"/>
      <c r="V69" s="647"/>
      <c r="W69" s="647"/>
      <c r="X69" s="647"/>
      <c r="Y69" s="647"/>
      <c r="Z69" s="647"/>
      <c r="AA69" s="647"/>
      <c r="AB69" s="647"/>
      <c r="AC69" s="647"/>
    </row>
    <row r="70" spans="1:29" ht="36" customHeight="1">
      <c r="A70" s="653"/>
      <c r="B70" s="695" t="s">
        <v>1095</v>
      </c>
      <c r="C70" s="694">
        <v>15420000</v>
      </c>
      <c r="D70" s="647"/>
      <c r="E70" s="647"/>
      <c r="F70" s="647"/>
      <c r="G70" s="647"/>
      <c r="H70" s="647"/>
      <c r="I70" s="647"/>
      <c r="J70" s="647"/>
      <c r="K70" s="647"/>
      <c r="L70" s="647"/>
      <c r="M70" s="647"/>
      <c r="N70" s="647"/>
      <c r="O70" s="647"/>
      <c r="P70" s="647"/>
      <c r="Q70" s="647"/>
      <c r="R70" s="647"/>
      <c r="S70" s="647"/>
      <c r="T70" s="647"/>
      <c r="U70" s="647"/>
      <c r="V70" s="647"/>
      <c r="W70" s="647"/>
      <c r="X70" s="647"/>
      <c r="Y70" s="647"/>
      <c r="Z70" s="647"/>
      <c r="AA70" s="647"/>
      <c r="AB70" s="647"/>
      <c r="AC70" s="647"/>
    </row>
    <row r="71" spans="1:29" ht="36" customHeight="1">
      <c r="A71" s="653"/>
      <c r="B71" s="695" t="s">
        <v>1096</v>
      </c>
      <c r="C71" s="694">
        <v>23803901</v>
      </c>
      <c r="D71" s="647"/>
      <c r="E71" s="647"/>
      <c r="F71" s="647"/>
      <c r="G71" s="647"/>
      <c r="H71" s="647"/>
      <c r="I71" s="647"/>
      <c r="J71" s="647"/>
      <c r="K71" s="647"/>
      <c r="L71" s="647"/>
      <c r="M71" s="647"/>
      <c r="N71" s="647"/>
      <c r="O71" s="647"/>
      <c r="P71" s="647"/>
      <c r="Q71" s="647"/>
      <c r="R71" s="647"/>
      <c r="S71" s="647"/>
      <c r="T71" s="647"/>
      <c r="U71" s="647"/>
      <c r="V71" s="647"/>
      <c r="W71" s="647"/>
      <c r="X71" s="647"/>
      <c r="Y71" s="647"/>
      <c r="Z71" s="647"/>
      <c r="AA71" s="647"/>
      <c r="AB71" s="647"/>
      <c r="AC71" s="647"/>
    </row>
    <row r="72" spans="1:29" ht="36" customHeight="1">
      <c r="A72" s="653"/>
      <c r="B72" s="695" t="s">
        <v>1097</v>
      </c>
      <c r="C72" s="694">
        <v>12102246</v>
      </c>
      <c r="D72" s="647"/>
      <c r="E72" s="647"/>
      <c r="F72" s="647"/>
      <c r="G72" s="647"/>
      <c r="H72" s="647"/>
      <c r="I72" s="647"/>
      <c r="J72" s="647"/>
      <c r="K72" s="647"/>
      <c r="L72" s="647"/>
      <c r="M72" s="647"/>
      <c r="N72" s="647"/>
      <c r="O72" s="647"/>
      <c r="P72" s="647"/>
      <c r="Q72" s="647"/>
      <c r="R72" s="647"/>
      <c r="S72" s="647"/>
      <c r="T72" s="647"/>
      <c r="U72" s="647"/>
      <c r="V72" s="647"/>
      <c r="W72" s="647"/>
      <c r="X72" s="647"/>
      <c r="Y72" s="647"/>
      <c r="Z72" s="647"/>
      <c r="AA72" s="647"/>
      <c r="AB72" s="647"/>
      <c r="AC72" s="647"/>
    </row>
    <row r="73" spans="1:29" ht="36" customHeight="1">
      <c r="A73" s="653"/>
      <c r="B73" s="695" t="s">
        <v>1098</v>
      </c>
      <c r="C73" s="694">
        <v>21359794</v>
      </c>
      <c r="D73" s="647"/>
      <c r="E73" s="647"/>
      <c r="F73" s="647"/>
      <c r="G73" s="647"/>
      <c r="H73" s="647"/>
      <c r="I73" s="647"/>
      <c r="J73" s="647"/>
      <c r="K73" s="647"/>
      <c r="L73" s="647"/>
      <c r="M73" s="647"/>
      <c r="N73" s="647"/>
      <c r="O73" s="647"/>
      <c r="P73" s="647"/>
      <c r="Q73" s="647"/>
      <c r="R73" s="647"/>
      <c r="S73" s="647"/>
      <c r="T73" s="647"/>
      <c r="U73" s="647"/>
      <c r="V73" s="647"/>
      <c r="W73" s="647"/>
      <c r="X73" s="647"/>
      <c r="Y73" s="647"/>
      <c r="Z73" s="647"/>
      <c r="AA73" s="647"/>
      <c r="AB73" s="647"/>
      <c r="AC73" s="647"/>
    </row>
    <row r="74" spans="1:29" ht="36" customHeight="1">
      <c r="A74" s="653"/>
      <c r="B74" s="695" t="s">
        <v>1099</v>
      </c>
      <c r="C74" s="694">
        <v>17597266</v>
      </c>
      <c r="D74" s="647"/>
      <c r="E74" s="647"/>
      <c r="F74" s="647"/>
      <c r="G74" s="647"/>
      <c r="H74" s="647"/>
      <c r="I74" s="647"/>
      <c r="J74" s="647"/>
      <c r="K74" s="647"/>
      <c r="L74" s="647"/>
      <c r="M74" s="647"/>
      <c r="N74" s="647"/>
      <c r="O74" s="647"/>
      <c r="P74" s="647"/>
      <c r="Q74" s="647"/>
      <c r="R74" s="647"/>
      <c r="S74" s="647"/>
      <c r="T74" s="647"/>
      <c r="U74" s="647"/>
      <c r="V74" s="647"/>
      <c r="W74" s="647"/>
      <c r="X74" s="647"/>
      <c r="Y74" s="647"/>
      <c r="Z74" s="647"/>
      <c r="AA74" s="647"/>
      <c r="AB74" s="647"/>
      <c r="AC74" s="647"/>
    </row>
    <row r="75" spans="1:29" ht="36" customHeight="1">
      <c r="A75" s="653"/>
      <c r="B75" s="695" t="s">
        <v>1100</v>
      </c>
      <c r="C75" s="694">
        <v>21257440</v>
      </c>
      <c r="D75" s="647"/>
      <c r="E75" s="647"/>
      <c r="F75" s="647"/>
      <c r="G75" s="647"/>
      <c r="H75" s="647"/>
      <c r="I75" s="647"/>
      <c r="J75" s="647"/>
      <c r="K75" s="647"/>
      <c r="L75" s="647"/>
      <c r="M75" s="647"/>
      <c r="N75" s="647"/>
      <c r="O75" s="647"/>
      <c r="P75" s="647"/>
      <c r="Q75" s="647"/>
      <c r="R75" s="647"/>
      <c r="S75" s="647"/>
      <c r="T75" s="647"/>
      <c r="U75" s="647"/>
      <c r="V75" s="647"/>
      <c r="W75" s="647"/>
      <c r="X75" s="647"/>
      <c r="Y75" s="647"/>
      <c r="Z75" s="647"/>
      <c r="AA75" s="647"/>
      <c r="AB75" s="647"/>
      <c r="AC75" s="647"/>
    </row>
    <row r="76" spans="1:29" ht="36" customHeight="1">
      <c r="A76" s="653"/>
      <c r="B76" s="695" t="s">
        <v>1101</v>
      </c>
      <c r="C76" s="694">
        <v>33438763</v>
      </c>
      <c r="D76" s="647"/>
      <c r="E76" s="647"/>
      <c r="F76" s="647"/>
      <c r="G76" s="647"/>
      <c r="H76" s="647"/>
      <c r="I76" s="647"/>
      <c r="J76" s="647"/>
      <c r="K76" s="647"/>
      <c r="L76" s="647"/>
      <c r="M76" s="647"/>
      <c r="N76" s="647"/>
      <c r="O76" s="647"/>
      <c r="P76" s="647"/>
      <c r="Q76" s="647"/>
      <c r="R76" s="647"/>
      <c r="S76" s="647"/>
      <c r="T76" s="647"/>
      <c r="U76" s="647"/>
      <c r="V76" s="647"/>
      <c r="W76" s="647"/>
      <c r="X76" s="647"/>
      <c r="Y76" s="647"/>
      <c r="Z76" s="647"/>
      <c r="AA76" s="647"/>
      <c r="AB76" s="647"/>
      <c r="AC76" s="647"/>
    </row>
    <row r="77" spans="1:29" ht="36" customHeight="1">
      <c r="A77" s="653"/>
      <c r="B77" s="695" t="s">
        <v>1102</v>
      </c>
      <c r="C77" s="694">
        <f>SUM(C78:C89)</f>
        <v>37334538</v>
      </c>
      <c r="D77" s="647"/>
      <c r="E77" s="647"/>
      <c r="F77" s="647"/>
      <c r="G77" s="647"/>
      <c r="H77" s="647"/>
      <c r="I77" s="647"/>
      <c r="J77" s="647"/>
      <c r="K77" s="647"/>
      <c r="L77" s="647"/>
      <c r="M77" s="647"/>
      <c r="N77" s="647"/>
      <c r="O77" s="647"/>
      <c r="P77" s="647"/>
      <c r="Q77" s="647"/>
      <c r="R77" s="647"/>
      <c r="S77" s="647"/>
      <c r="T77" s="647"/>
      <c r="U77" s="647"/>
      <c r="V77" s="647"/>
      <c r="W77" s="647"/>
      <c r="X77" s="647"/>
      <c r="Y77" s="647"/>
      <c r="Z77" s="647"/>
      <c r="AA77" s="647"/>
      <c r="AB77" s="647"/>
      <c r="AC77" s="647"/>
    </row>
    <row r="78" spans="1:29" ht="36" customHeight="1">
      <c r="A78" s="653"/>
      <c r="B78" s="695" t="s">
        <v>1103</v>
      </c>
      <c r="C78" s="694">
        <v>6337788</v>
      </c>
      <c r="D78" s="647"/>
      <c r="E78" s="647"/>
      <c r="F78" s="647"/>
      <c r="G78" s="647"/>
      <c r="H78" s="647"/>
      <c r="I78" s="647"/>
      <c r="J78" s="647"/>
      <c r="K78" s="647"/>
      <c r="L78" s="647"/>
      <c r="M78" s="647"/>
      <c r="N78" s="647"/>
      <c r="O78" s="647"/>
      <c r="P78" s="647"/>
      <c r="Q78" s="647"/>
      <c r="R78" s="647"/>
      <c r="S78" s="647"/>
      <c r="T78" s="647"/>
      <c r="U78" s="647"/>
      <c r="V78" s="647"/>
      <c r="W78" s="647"/>
      <c r="X78" s="647"/>
      <c r="Y78" s="647"/>
      <c r="Z78" s="647"/>
      <c r="AA78" s="647"/>
      <c r="AB78" s="647"/>
      <c r="AC78" s="647"/>
    </row>
    <row r="79" spans="1:29" ht="36" customHeight="1">
      <c r="A79" s="653"/>
      <c r="B79" s="695" t="s">
        <v>1104</v>
      </c>
      <c r="C79" s="694">
        <v>4828617</v>
      </c>
      <c r="D79" s="647"/>
      <c r="E79" s="647"/>
      <c r="F79" s="647"/>
      <c r="G79" s="647"/>
      <c r="H79" s="647"/>
      <c r="I79" s="647"/>
      <c r="J79" s="647"/>
      <c r="K79" s="647"/>
      <c r="L79" s="647"/>
      <c r="M79" s="647"/>
      <c r="N79" s="647"/>
      <c r="O79" s="647"/>
      <c r="P79" s="647"/>
      <c r="Q79" s="647"/>
      <c r="R79" s="647"/>
      <c r="S79" s="647"/>
      <c r="T79" s="647"/>
      <c r="U79" s="647"/>
      <c r="V79" s="647"/>
      <c r="W79" s="647"/>
      <c r="X79" s="647"/>
      <c r="Y79" s="647"/>
      <c r="Z79" s="647"/>
      <c r="AA79" s="647"/>
      <c r="AB79" s="647"/>
      <c r="AC79" s="647"/>
    </row>
    <row r="80" spans="1:29" ht="36" customHeight="1">
      <c r="A80" s="653"/>
      <c r="B80" s="695" t="s">
        <v>1105</v>
      </c>
      <c r="C80" s="694">
        <v>2061248</v>
      </c>
      <c r="D80" s="647"/>
      <c r="E80" s="647"/>
      <c r="F80" s="647"/>
      <c r="G80" s="647"/>
      <c r="H80" s="647"/>
      <c r="I80" s="647"/>
      <c r="J80" s="647"/>
      <c r="K80" s="647"/>
      <c r="L80" s="647"/>
      <c r="M80" s="647"/>
      <c r="N80" s="647"/>
      <c r="O80" s="647"/>
      <c r="P80" s="647"/>
      <c r="Q80" s="647"/>
      <c r="R80" s="647"/>
      <c r="S80" s="647"/>
      <c r="T80" s="647"/>
      <c r="U80" s="647"/>
      <c r="V80" s="647"/>
      <c r="W80" s="647"/>
      <c r="X80" s="647"/>
      <c r="Y80" s="647"/>
      <c r="Z80" s="647"/>
      <c r="AA80" s="647"/>
      <c r="AB80" s="647"/>
      <c r="AC80" s="647"/>
    </row>
    <row r="81" spans="1:29" ht="36" customHeight="1">
      <c r="A81" s="653"/>
      <c r="B81" s="695" t="s">
        <v>1106</v>
      </c>
      <c r="C81" s="694">
        <v>1131196</v>
      </c>
      <c r="D81" s="647"/>
      <c r="E81" s="647"/>
      <c r="F81" s="647"/>
      <c r="G81" s="647"/>
      <c r="H81" s="647"/>
      <c r="I81" s="647"/>
      <c r="J81" s="647"/>
      <c r="K81" s="647"/>
      <c r="L81" s="647"/>
      <c r="M81" s="647"/>
      <c r="N81" s="647"/>
      <c r="O81" s="647"/>
      <c r="P81" s="647"/>
      <c r="Q81" s="647"/>
      <c r="R81" s="647"/>
      <c r="S81" s="647"/>
      <c r="T81" s="647"/>
      <c r="U81" s="647"/>
      <c r="V81" s="647"/>
      <c r="W81" s="647"/>
      <c r="X81" s="647"/>
      <c r="Y81" s="647"/>
      <c r="Z81" s="647"/>
      <c r="AA81" s="647"/>
      <c r="AB81" s="647"/>
      <c r="AC81" s="647"/>
    </row>
    <row r="82" spans="1:29" ht="36" customHeight="1">
      <c r="A82" s="653"/>
      <c r="B82" s="695" t="s">
        <v>1107</v>
      </c>
      <c r="C82" s="694">
        <v>701342</v>
      </c>
      <c r="D82" s="647"/>
      <c r="E82" s="647"/>
      <c r="F82" s="647"/>
      <c r="G82" s="647"/>
      <c r="H82" s="647"/>
      <c r="I82" s="647"/>
      <c r="J82" s="647"/>
      <c r="K82" s="647"/>
      <c r="L82" s="647"/>
      <c r="M82" s="647"/>
      <c r="N82" s="647"/>
      <c r="O82" s="647"/>
      <c r="P82" s="647"/>
      <c r="Q82" s="647"/>
      <c r="R82" s="647"/>
      <c r="S82" s="647"/>
      <c r="T82" s="647"/>
      <c r="U82" s="647"/>
      <c r="V82" s="647"/>
      <c r="W82" s="647"/>
      <c r="X82" s="647"/>
      <c r="Y82" s="647"/>
      <c r="Z82" s="647"/>
      <c r="AA82" s="647"/>
      <c r="AB82" s="647"/>
      <c r="AC82" s="647"/>
    </row>
    <row r="83" spans="1:29" ht="36" customHeight="1">
      <c r="A83" s="653"/>
      <c r="B83" s="695" t="s">
        <v>1108</v>
      </c>
      <c r="C83" s="694">
        <v>520676</v>
      </c>
      <c r="D83" s="647"/>
      <c r="E83" s="647"/>
      <c r="F83" s="647"/>
      <c r="G83" s="647"/>
      <c r="H83" s="647"/>
      <c r="I83" s="647"/>
      <c r="J83" s="647"/>
      <c r="K83" s="647"/>
      <c r="L83" s="647"/>
      <c r="M83" s="647"/>
      <c r="N83" s="647"/>
      <c r="O83" s="647"/>
      <c r="P83" s="647"/>
      <c r="Q83" s="647"/>
      <c r="R83" s="647"/>
      <c r="S83" s="647"/>
      <c r="T83" s="647"/>
      <c r="U83" s="647"/>
      <c r="V83" s="647"/>
      <c r="W83" s="647"/>
      <c r="X83" s="647"/>
      <c r="Y83" s="647"/>
      <c r="Z83" s="647"/>
      <c r="AA83" s="647"/>
      <c r="AB83" s="647"/>
      <c r="AC83" s="647"/>
    </row>
    <row r="84" spans="1:29" ht="36" customHeight="1">
      <c r="A84" s="653"/>
      <c r="B84" s="695" t="s">
        <v>1109</v>
      </c>
      <c r="C84" s="694">
        <v>1530677</v>
      </c>
      <c r="D84" s="647"/>
      <c r="E84" s="647"/>
      <c r="F84" s="647"/>
      <c r="G84" s="647"/>
      <c r="H84" s="647"/>
      <c r="I84" s="647"/>
      <c r="J84" s="647"/>
      <c r="K84" s="647"/>
      <c r="L84" s="647"/>
      <c r="M84" s="647"/>
      <c r="N84" s="647"/>
      <c r="O84" s="647"/>
      <c r="P84" s="647"/>
      <c r="Q84" s="647"/>
      <c r="R84" s="647"/>
      <c r="S84" s="647"/>
      <c r="T84" s="647"/>
      <c r="U84" s="647"/>
      <c r="V84" s="647"/>
      <c r="W84" s="647"/>
      <c r="X84" s="647"/>
      <c r="Y84" s="647"/>
      <c r="Z84" s="647"/>
      <c r="AA84" s="647"/>
      <c r="AB84" s="647"/>
      <c r="AC84" s="647"/>
    </row>
    <row r="85" spans="1:29" ht="36" customHeight="1">
      <c r="A85" s="653"/>
      <c r="B85" s="695" t="s">
        <v>1110</v>
      </c>
      <c r="C85" s="694">
        <v>17916571</v>
      </c>
      <c r="D85" s="647"/>
      <c r="E85" s="647"/>
      <c r="F85" s="647"/>
      <c r="G85" s="647"/>
      <c r="H85" s="647"/>
      <c r="I85" s="647"/>
      <c r="J85" s="647"/>
      <c r="K85" s="647"/>
      <c r="L85" s="647"/>
      <c r="M85" s="647"/>
      <c r="N85" s="647"/>
      <c r="O85" s="647"/>
      <c r="P85" s="647"/>
      <c r="Q85" s="647"/>
      <c r="R85" s="647"/>
      <c r="S85" s="647"/>
      <c r="T85" s="647"/>
      <c r="U85" s="647"/>
      <c r="V85" s="647"/>
      <c r="W85" s="647"/>
      <c r="X85" s="647"/>
      <c r="Y85" s="647"/>
      <c r="Z85" s="647"/>
      <c r="AA85" s="647"/>
      <c r="AB85" s="647"/>
      <c r="AC85" s="647"/>
    </row>
    <row r="86" spans="1:29" ht="36" customHeight="1">
      <c r="A86" s="653"/>
      <c r="B86" s="695" t="s">
        <v>1111</v>
      </c>
      <c r="C86" s="694">
        <v>54825</v>
      </c>
      <c r="D86" s="647"/>
      <c r="E86" s="647"/>
      <c r="F86" s="647"/>
      <c r="G86" s="647"/>
      <c r="H86" s="647"/>
      <c r="I86" s="647"/>
      <c r="J86" s="647"/>
      <c r="K86" s="647"/>
      <c r="L86" s="647"/>
      <c r="M86" s="647"/>
      <c r="N86" s="647"/>
      <c r="O86" s="647"/>
      <c r="P86" s="647"/>
      <c r="Q86" s="647"/>
      <c r="R86" s="647"/>
      <c r="S86" s="647"/>
      <c r="T86" s="647"/>
      <c r="U86" s="647"/>
      <c r="V86" s="647"/>
      <c r="W86" s="647"/>
      <c r="X86" s="647"/>
      <c r="Y86" s="647"/>
      <c r="Z86" s="647"/>
      <c r="AA86" s="647"/>
      <c r="AB86" s="647"/>
      <c r="AC86" s="647"/>
    </row>
    <row r="87" spans="1:29" ht="36" customHeight="1">
      <c r="A87" s="653"/>
      <c r="B87" s="695" t="s">
        <v>1112</v>
      </c>
      <c r="C87" s="694">
        <v>17842</v>
      </c>
      <c r="D87" s="647"/>
      <c r="E87" s="647"/>
      <c r="F87" s="647"/>
      <c r="G87" s="647"/>
      <c r="H87" s="647"/>
      <c r="I87" s="647"/>
      <c r="J87" s="647"/>
      <c r="K87" s="647"/>
      <c r="L87" s="647"/>
      <c r="M87" s="647"/>
      <c r="N87" s="647"/>
      <c r="O87" s="647"/>
      <c r="P87" s="647"/>
      <c r="Q87" s="647"/>
      <c r="R87" s="647"/>
      <c r="S87" s="647"/>
      <c r="T87" s="647"/>
      <c r="U87" s="647"/>
      <c r="V87" s="647"/>
      <c r="W87" s="647"/>
      <c r="X87" s="647"/>
      <c r="Y87" s="647"/>
      <c r="Z87" s="647"/>
      <c r="AA87" s="647"/>
      <c r="AB87" s="647"/>
      <c r="AC87" s="647"/>
    </row>
    <row r="88" spans="1:29" ht="36" customHeight="1">
      <c r="A88" s="653"/>
      <c r="B88" s="695" t="s">
        <v>1113</v>
      </c>
      <c r="C88" s="694">
        <v>865511</v>
      </c>
      <c r="D88" s="647"/>
      <c r="E88" s="647"/>
      <c r="F88" s="647"/>
      <c r="G88" s="647"/>
      <c r="H88" s="647"/>
      <c r="I88" s="647"/>
      <c r="J88" s="647"/>
      <c r="K88" s="647"/>
      <c r="L88" s="647"/>
      <c r="M88" s="647"/>
      <c r="N88" s="647"/>
      <c r="O88" s="647"/>
      <c r="P88" s="647"/>
      <c r="Q88" s="647"/>
      <c r="R88" s="647"/>
      <c r="S88" s="647"/>
      <c r="T88" s="647"/>
      <c r="U88" s="647"/>
      <c r="V88" s="647"/>
      <c r="W88" s="647"/>
      <c r="X88" s="647"/>
      <c r="Y88" s="647"/>
      <c r="Z88" s="647"/>
      <c r="AA88" s="647"/>
      <c r="AB88" s="647"/>
      <c r="AC88" s="647"/>
    </row>
    <row r="89" spans="1:29" ht="36" customHeight="1">
      <c r="A89" s="653"/>
      <c r="B89" s="695" t="s">
        <v>1114</v>
      </c>
      <c r="C89" s="694">
        <v>1368245</v>
      </c>
      <c r="D89" s="647"/>
      <c r="E89" s="647"/>
      <c r="F89" s="647"/>
      <c r="G89" s="647"/>
      <c r="H89" s="647"/>
      <c r="I89" s="647"/>
      <c r="J89" s="647"/>
      <c r="K89" s="647"/>
      <c r="L89" s="647"/>
      <c r="M89" s="647"/>
      <c r="N89" s="647"/>
      <c r="O89" s="647"/>
      <c r="P89" s="647"/>
      <c r="Q89" s="647"/>
      <c r="R89" s="647"/>
      <c r="S89" s="647"/>
      <c r="T89" s="647"/>
      <c r="U89" s="647"/>
      <c r="V89" s="647"/>
      <c r="W89" s="647"/>
      <c r="X89" s="647"/>
      <c r="Y89" s="647"/>
      <c r="Z89" s="647"/>
      <c r="AA89" s="647"/>
      <c r="AB89" s="647"/>
      <c r="AC89" s="647"/>
    </row>
    <row r="90" spans="1:29" ht="36" customHeight="1">
      <c r="A90" s="653"/>
      <c r="B90" s="695" t="s">
        <v>1115</v>
      </c>
      <c r="C90" s="694">
        <f>+C91</f>
        <v>3079089749</v>
      </c>
      <c r="D90" s="647"/>
      <c r="E90" s="647"/>
      <c r="F90" s="647"/>
      <c r="G90" s="647"/>
      <c r="H90" s="647"/>
      <c r="I90" s="647"/>
      <c r="J90" s="647"/>
      <c r="K90" s="647"/>
      <c r="L90" s="647"/>
      <c r="M90" s="647"/>
      <c r="N90" s="647"/>
      <c r="O90" s="647"/>
      <c r="P90" s="647"/>
      <c r="Q90" s="647"/>
      <c r="R90" s="647"/>
      <c r="S90" s="647"/>
      <c r="T90" s="647"/>
      <c r="U90" s="647"/>
      <c r="V90" s="647"/>
      <c r="W90" s="647"/>
      <c r="X90" s="647"/>
      <c r="Y90" s="647"/>
      <c r="Z90" s="647"/>
      <c r="AA90" s="647"/>
      <c r="AB90" s="647"/>
      <c r="AC90" s="647"/>
    </row>
    <row r="91" spans="1:29" ht="36" customHeight="1">
      <c r="A91" s="653"/>
      <c r="B91" s="695" t="s">
        <v>1116</v>
      </c>
      <c r="C91" s="694">
        <v>3079089749</v>
      </c>
      <c r="D91" s="647"/>
      <c r="E91" s="647"/>
      <c r="F91" s="647"/>
      <c r="G91" s="647"/>
      <c r="H91" s="647"/>
      <c r="I91" s="647"/>
      <c r="J91" s="647"/>
      <c r="K91" s="647"/>
      <c r="L91" s="647"/>
      <c r="M91" s="647"/>
      <c r="N91" s="647"/>
      <c r="O91" s="647"/>
      <c r="P91" s="647"/>
      <c r="Q91" s="647"/>
      <c r="R91" s="647"/>
      <c r="S91" s="647"/>
      <c r="T91" s="647"/>
      <c r="U91" s="647"/>
      <c r="V91" s="647"/>
      <c r="W91" s="647"/>
      <c r="X91" s="647"/>
      <c r="Y91" s="647"/>
      <c r="Z91" s="647"/>
      <c r="AA91" s="647"/>
      <c r="AB91" s="647"/>
      <c r="AC91" s="647"/>
    </row>
    <row r="92" spans="1:29" ht="36" customHeight="1">
      <c r="A92" s="653"/>
      <c r="B92" s="695" t="s">
        <v>515</v>
      </c>
      <c r="C92" s="694">
        <f>+C93+C95</f>
        <v>1101000000</v>
      </c>
      <c r="D92" s="647"/>
      <c r="E92" s="647"/>
      <c r="F92" s="647"/>
      <c r="G92" s="647"/>
      <c r="H92" s="647"/>
      <c r="I92" s="647"/>
      <c r="J92" s="647"/>
      <c r="K92" s="647"/>
      <c r="L92" s="647"/>
      <c r="M92" s="647"/>
      <c r="N92" s="647"/>
      <c r="O92" s="647"/>
      <c r="P92" s="647"/>
      <c r="Q92" s="647"/>
      <c r="R92" s="647"/>
      <c r="S92" s="647"/>
      <c r="T92" s="647"/>
      <c r="U92" s="647"/>
      <c r="V92" s="647"/>
      <c r="W92" s="647"/>
      <c r="X92" s="647"/>
      <c r="Y92" s="647"/>
      <c r="Z92" s="647"/>
      <c r="AA92" s="647"/>
      <c r="AB92" s="647"/>
      <c r="AC92" s="647"/>
    </row>
    <row r="93" spans="1:29" ht="36" customHeight="1">
      <c r="A93" s="653"/>
      <c r="B93" s="695" t="s">
        <v>516</v>
      </c>
      <c r="C93" s="694">
        <f>+C94</f>
        <v>200000000</v>
      </c>
      <c r="D93" s="647"/>
      <c r="E93" s="647"/>
      <c r="F93" s="647"/>
      <c r="G93" s="647"/>
      <c r="H93" s="647"/>
      <c r="I93" s="647"/>
      <c r="J93" s="647"/>
      <c r="K93" s="647"/>
      <c r="L93" s="647"/>
      <c r="M93" s="647"/>
      <c r="N93" s="647"/>
      <c r="O93" s="647"/>
      <c r="P93" s="647"/>
      <c r="Q93" s="647"/>
      <c r="R93" s="647"/>
      <c r="S93" s="647"/>
      <c r="T93" s="647"/>
      <c r="U93" s="647"/>
      <c r="V93" s="647"/>
      <c r="W93" s="647"/>
      <c r="X93" s="647"/>
      <c r="Y93" s="647"/>
      <c r="Z93" s="647"/>
      <c r="AA93" s="647"/>
      <c r="AB93" s="647"/>
      <c r="AC93" s="647"/>
    </row>
    <row r="94" spans="1:29" ht="36" customHeight="1">
      <c r="A94" s="653"/>
      <c r="B94" s="695" t="s">
        <v>517</v>
      </c>
      <c r="C94" s="694">
        <v>200000000</v>
      </c>
      <c r="D94" s="647"/>
      <c r="E94" s="647"/>
      <c r="F94" s="647"/>
      <c r="G94" s="647"/>
      <c r="H94" s="647"/>
      <c r="I94" s="647"/>
      <c r="J94" s="647"/>
      <c r="K94" s="647"/>
      <c r="L94" s="647"/>
      <c r="M94" s="647"/>
      <c r="N94" s="647"/>
      <c r="O94" s="647"/>
      <c r="P94" s="647"/>
      <c r="Q94" s="647"/>
      <c r="R94" s="647"/>
      <c r="S94" s="647"/>
      <c r="T94" s="647"/>
      <c r="U94" s="647"/>
      <c r="V94" s="647"/>
      <c r="W94" s="647"/>
      <c r="X94" s="647"/>
      <c r="Y94" s="647"/>
      <c r="Z94" s="647"/>
      <c r="AA94" s="647"/>
      <c r="AB94" s="647"/>
      <c r="AC94" s="647"/>
    </row>
    <row r="95" spans="1:29" ht="36" customHeight="1">
      <c r="A95" s="653"/>
      <c r="B95" s="695" t="s">
        <v>518</v>
      </c>
      <c r="C95" s="694">
        <f>+C96</f>
        <v>901000000</v>
      </c>
      <c r="D95" s="647"/>
      <c r="E95" s="647"/>
      <c r="F95" s="647"/>
      <c r="G95" s="647"/>
      <c r="H95" s="647"/>
      <c r="I95" s="647"/>
      <c r="J95" s="647"/>
      <c r="K95" s="647"/>
      <c r="L95" s="647"/>
      <c r="M95" s="647"/>
      <c r="N95" s="647"/>
      <c r="O95" s="647"/>
      <c r="P95" s="647"/>
      <c r="Q95" s="647"/>
      <c r="R95" s="647"/>
      <c r="S95" s="647"/>
      <c r="T95" s="647"/>
      <c r="U95" s="647"/>
      <c r="V95" s="647"/>
      <c r="W95" s="647"/>
      <c r="X95" s="647"/>
      <c r="Y95" s="647"/>
      <c r="Z95" s="647"/>
      <c r="AA95" s="647"/>
      <c r="AB95" s="647"/>
      <c r="AC95" s="647"/>
    </row>
    <row r="96" spans="1:29" ht="36" customHeight="1">
      <c r="A96" s="653"/>
      <c r="B96" s="695" t="s">
        <v>519</v>
      </c>
      <c r="C96" s="697">
        <f>SUM(C97:C99)</f>
        <v>901000000</v>
      </c>
      <c r="D96" s="647"/>
      <c r="E96" s="647"/>
      <c r="F96" s="647"/>
      <c r="G96" s="647"/>
      <c r="H96" s="647"/>
      <c r="I96" s="647"/>
      <c r="J96" s="647"/>
      <c r="K96" s="647"/>
      <c r="L96" s="647"/>
      <c r="M96" s="647"/>
      <c r="N96" s="647"/>
      <c r="O96" s="647"/>
      <c r="P96" s="647"/>
      <c r="Q96" s="647"/>
      <c r="R96" s="647"/>
      <c r="S96" s="647"/>
      <c r="T96" s="647"/>
      <c r="U96" s="647"/>
      <c r="V96" s="647"/>
      <c r="W96" s="647"/>
      <c r="X96" s="647"/>
      <c r="Y96" s="647"/>
      <c r="Z96" s="647"/>
      <c r="AA96" s="647"/>
      <c r="AB96" s="647"/>
      <c r="AC96" s="647"/>
    </row>
    <row r="97" spans="1:29" ht="36" customHeight="1">
      <c r="A97" s="653"/>
      <c r="B97" s="695" t="s">
        <v>520</v>
      </c>
      <c r="C97" s="694">
        <v>800000000</v>
      </c>
      <c r="D97" s="647"/>
      <c r="E97" s="647"/>
      <c r="F97" s="647"/>
      <c r="G97" s="647"/>
      <c r="H97" s="647"/>
      <c r="I97" s="647"/>
      <c r="J97" s="647"/>
      <c r="K97" s="647"/>
      <c r="L97" s="647"/>
      <c r="M97" s="647"/>
      <c r="N97" s="647"/>
      <c r="O97" s="647"/>
      <c r="P97" s="647"/>
      <c r="Q97" s="647"/>
      <c r="R97" s="647"/>
      <c r="S97" s="647"/>
      <c r="T97" s="647"/>
      <c r="U97" s="647"/>
      <c r="V97" s="647"/>
      <c r="W97" s="647"/>
      <c r="X97" s="647"/>
      <c r="Y97" s="647"/>
      <c r="Z97" s="647"/>
      <c r="AA97" s="647"/>
      <c r="AB97" s="647"/>
      <c r="AC97" s="647"/>
    </row>
    <row r="98" spans="1:29" ht="36" customHeight="1">
      <c r="A98" s="653"/>
      <c r="B98" s="695" t="s">
        <v>521</v>
      </c>
      <c r="C98" s="694">
        <v>50000000</v>
      </c>
      <c r="D98" s="647"/>
      <c r="E98" s="647"/>
      <c r="F98" s="647"/>
      <c r="G98" s="647"/>
      <c r="H98" s="647"/>
      <c r="I98" s="647"/>
      <c r="J98" s="647"/>
      <c r="K98" s="647"/>
      <c r="L98" s="647"/>
      <c r="M98" s="647"/>
      <c r="N98" s="647"/>
      <c r="O98" s="647"/>
      <c r="P98" s="647"/>
      <c r="Q98" s="647"/>
      <c r="R98" s="647"/>
      <c r="S98" s="647"/>
      <c r="T98" s="647"/>
      <c r="U98" s="647"/>
      <c r="V98" s="647"/>
      <c r="W98" s="647"/>
      <c r="X98" s="647"/>
      <c r="Y98" s="647"/>
      <c r="Z98" s="647"/>
      <c r="AA98" s="647"/>
      <c r="AB98" s="647"/>
      <c r="AC98" s="647"/>
    </row>
    <row r="99" spans="1:29" ht="36" customHeight="1">
      <c r="A99" s="653"/>
      <c r="B99" s="695" t="s">
        <v>522</v>
      </c>
      <c r="C99" s="694">
        <v>51000000</v>
      </c>
      <c r="D99" s="647"/>
      <c r="E99" s="647"/>
      <c r="F99" s="647"/>
      <c r="G99" s="647"/>
      <c r="H99" s="647"/>
      <c r="I99" s="647"/>
      <c r="J99" s="647"/>
      <c r="K99" s="647"/>
      <c r="L99" s="647"/>
      <c r="M99" s="647"/>
      <c r="N99" s="647"/>
      <c r="O99" s="647"/>
      <c r="P99" s="647"/>
      <c r="Q99" s="647"/>
      <c r="R99" s="647"/>
      <c r="S99" s="647"/>
      <c r="T99" s="647"/>
      <c r="U99" s="647"/>
      <c r="V99" s="647"/>
      <c r="W99" s="647"/>
      <c r="X99" s="647"/>
      <c r="Y99" s="647"/>
      <c r="Z99" s="647"/>
      <c r="AA99" s="647"/>
      <c r="AB99" s="647"/>
      <c r="AC99" s="647"/>
    </row>
    <row r="100" spans="1:29" ht="36" customHeight="1">
      <c r="A100" s="653"/>
      <c r="B100" s="680"/>
      <c r="C100" s="681"/>
      <c r="D100" s="647"/>
      <c r="E100" s="647"/>
      <c r="F100" s="647"/>
      <c r="G100" s="647"/>
      <c r="H100" s="647"/>
      <c r="I100" s="647"/>
      <c r="J100" s="647"/>
      <c r="K100" s="647"/>
      <c r="L100" s="647"/>
      <c r="M100" s="647"/>
      <c r="N100" s="647"/>
      <c r="O100" s="647"/>
      <c r="P100" s="647"/>
      <c r="Q100" s="647"/>
      <c r="R100" s="647"/>
      <c r="S100" s="647"/>
      <c r="T100" s="647"/>
      <c r="U100" s="647"/>
      <c r="V100" s="647"/>
      <c r="W100" s="647"/>
      <c r="X100" s="647"/>
      <c r="Y100" s="647"/>
      <c r="Z100" s="647"/>
      <c r="AA100" s="647"/>
      <c r="AB100" s="647"/>
      <c r="AC100" s="647"/>
    </row>
    <row r="101" spans="1:29" ht="36" customHeight="1">
      <c r="A101" s="653"/>
      <c r="B101" s="680"/>
      <c r="C101" s="681"/>
      <c r="D101" s="647"/>
      <c r="E101" s="647"/>
      <c r="F101" s="647"/>
      <c r="G101" s="647"/>
      <c r="H101" s="647"/>
      <c r="I101" s="647"/>
      <c r="J101" s="647"/>
      <c r="K101" s="647"/>
      <c r="L101" s="647"/>
      <c r="M101" s="647"/>
      <c r="N101" s="647"/>
      <c r="O101" s="647"/>
      <c r="P101" s="647"/>
      <c r="Q101" s="647"/>
      <c r="R101" s="647"/>
      <c r="S101" s="647"/>
      <c r="T101" s="647"/>
      <c r="U101" s="647"/>
      <c r="V101" s="647"/>
      <c r="W101" s="647"/>
      <c r="X101" s="647"/>
      <c r="Y101" s="647"/>
      <c r="Z101" s="647"/>
      <c r="AA101" s="647"/>
      <c r="AB101" s="647"/>
      <c r="AC101" s="647"/>
    </row>
    <row r="102" spans="1:29" ht="36" customHeight="1">
      <c r="A102" s="653"/>
      <c r="B102" s="680"/>
      <c r="C102" s="681"/>
      <c r="D102" s="647"/>
      <c r="E102" s="647"/>
      <c r="F102" s="647"/>
      <c r="G102" s="647"/>
      <c r="H102" s="647"/>
      <c r="I102" s="647"/>
      <c r="J102" s="647"/>
      <c r="K102" s="647"/>
      <c r="L102" s="647"/>
      <c r="M102" s="647"/>
      <c r="N102" s="647"/>
      <c r="O102" s="647"/>
      <c r="P102" s="647"/>
      <c r="Q102" s="647"/>
      <c r="R102" s="647"/>
      <c r="S102" s="647"/>
      <c r="T102" s="647"/>
      <c r="U102" s="647"/>
      <c r="V102" s="647"/>
      <c r="W102" s="647"/>
      <c r="X102" s="647"/>
      <c r="Y102" s="647"/>
      <c r="Z102" s="647"/>
      <c r="AA102" s="647"/>
      <c r="AB102" s="647"/>
      <c r="AC102" s="647"/>
    </row>
    <row r="103" spans="1:29" ht="36" customHeight="1">
      <c r="A103" s="653"/>
      <c r="B103" s="680"/>
      <c r="C103" s="681"/>
      <c r="D103" s="647"/>
      <c r="E103" s="647"/>
      <c r="F103" s="647"/>
      <c r="G103" s="647"/>
      <c r="H103" s="647"/>
      <c r="I103" s="647"/>
      <c r="J103" s="647"/>
      <c r="K103" s="647"/>
      <c r="L103" s="647"/>
      <c r="M103" s="647"/>
      <c r="N103" s="647"/>
      <c r="O103" s="647"/>
      <c r="P103" s="647"/>
      <c r="Q103" s="647"/>
      <c r="R103" s="647"/>
      <c r="S103" s="647"/>
      <c r="T103" s="647"/>
      <c r="U103" s="647"/>
      <c r="V103" s="647"/>
      <c r="W103" s="647"/>
      <c r="X103" s="647"/>
      <c r="Y103" s="647"/>
      <c r="Z103" s="647"/>
      <c r="AA103" s="647"/>
      <c r="AB103" s="647"/>
      <c r="AC103" s="647"/>
    </row>
    <row r="104" spans="1:29" ht="36" customHeight="1">
      <c r="A104" s="653"/>
      <c r="B104" s="680"/>
      <c r="C104" s="681"/>
      <c r="D104" s="647"/>
      <c r="E104" s="647"/>
      <c r="F104" s="647"/>
      <c r="G104" s="647"/>
      <c r="H104" s="647"/>
      <c r="I104" s="647"/>
      <c r="J104" s="647"/>
      <c r="K104" s="647"/>
      <c r="L104" s="647"/>
      <c r="M104" s="647"/>
      <c r="N104" s="647"/>
      <c r="O104" s="647"/>
      <c r="P104" s="647"/>
      <c r="Q104" s="647"/>
      <c r="R104" s="647"/>
      <c r="S104" s="647"/>
      <c r="T104" s="647"/>
      <c r="U104" s="647"/>
      <c r="V104" s="647"/>
      <c r="W104" s="647"/>
      <c r="X104" s="647"/>
      <c r="Y104" s="647"/>
      <c r="Z104" s="647"/>
      <c r="AA104" s="647"/>
      <c r="AB104" s="647"/>
      <c r="AC104" s="647"/>
    </row>
    <row r="105" spans="1:29" ht="36" customHeight="1">
      <c r="A105" s="653"/>
      <c r="B105" s="680"/>
      <c r="C105" s="681"/>
      <c r="D105" s="647"/>
      <c r="E105" s="647"/>
      <c r="F105" s="647"/>
      <c r="G105" s="647"/>
      <c r="H105" s="647"/>
      <c r="I105" s="647"/>
      <c r="J105" s="647"/>
      <c r="K105" s="647"/>
      <c r="L105" s="647"/>
      <c r="M105" s="647"/>
      <c r="N105" s="647"/>
      <c r="O105" s="647"/>
      <c r="P105" s="647"/>
      <c r="Q105" s="647"/>
      <c r="R105" s="647"/>
      <c r="S105" s="647"/>
      <c r="T105" s="647"/>
      <c r="U105" s="647"/>
      <c r="V105" s="647"/>
      <c r="W105" s="647"/>
      <c r="X105" s="647"/>
      <c r="Y105" s="647"/>
      <c r="Z105" s="647"/>
      <c r="AA105" s="647"/>
      <c r="AB105" s="647"/>
      <c r="AC105" s="647"/>
    </row>
    <row r="106" spans="1:29" ht="36" customHeight="1">
      <c r="A106" s="653"/>
      <c r="B106" s="680"/>
      <c r="C106" s="681"/>
      <c r="D106" s="647"/>
      <c r="E106" s="647"/>
      <c r="F106" s="647"/>
      <c r="G106" s="647"/>
      <c r="H106" s="647"/>
      <c r="I106" s="647"/>
      <c r="J106" s="647"/>
      <c r="K106" s="647"/>
      <c r="L106" s="647"/>
      <c r="M106" s="647"/>
      <c r="N106" s="647"/>
      <c r="O106" s="647"/>
      <c r="P106" s="647"/>
      <c r="Q106" s="647"/>
      <c r="R106" s="647"/>
      <c r="S106" s="647"/>
      <c r="T106" s="647"/>
      <c r="U106" s="647"/>
      <c r="V106" s="647"/>
      <c r="W106" s="647"/>
      <c r="X106" s="647"/>
      <c r="Y106" s="647"/>
      <c r="Z106" s="647"/>
      <c r="AA106" s="647"/>
      <c r="AB106" s="647"/>
      <c r="AC106" s="647"/>
    </row>
    <row r="107" spans="1:29" ht="36" customHeight="1">
      <c r="A107" s="653"/>
      <c r="B107" s="680"/>
      <c r="C107" s="681"/>
      <c r="D107" s="647"/>
      <c r="E107" s="647"/>
      <c r="F107" s="647"/>
      <c r="G107" s="647"/>
      <c r="H107" s="647"/>
      <c r="I107" s="647"/>
      <c r="J107" s="647"/>
      <c r="K107" s="647"/>
      <c r="L107" s="647"/>
      <c r="M107" s="647"/>
      <c r="N107" s="647"/>
      <c r="O107" s="647"/>
      <c r="P107" s="647"/>
      <c r="Q107" s="647"/>
      <c r="R107" s="647"/>
      <c r="S107" s="647"/>
      <c r="T107" s="647"/>
      <c r="U107" s="647"/>
      <c r="V107" s="647"/>
      <c r="W107" s="647"/>
      <c r="X107" s="647"/>
      <c r="Y107" s="647"/>
      <c r="Z107" s="647"/>
      <c r="AA107" s="647"/>
      <c r="AB107" s="647"/>
      <c r="AC107" s="647"/>
    </row>
    <row r="108" spans="1:29" ht="36" customHeight="1">
      <c r="A108" s="653"/>
      <c r="B108" s="680"/>
      <c r="C108" s="681"/>
      <c r="D108" s="647"/>
      <c r="E108" s="647"/>
      <c r="F108" s="647"/>
      <c r="G108" s="647"/>
      <c r="H108" s="647"/>
      <c r="I108" s="647"/>
      <c r="J108" s="647"/>
      <c r="K108" s="647"/>
      <c r="L108" s="647"/>
      <c r="M108" s="647"/>
      <c r="N108" s="647"/>
      <c r="O108" s="647"/>
      <c r="P108" s="647"/>
      <c r="Q108" s="647"/>
      <c r="R108" s="647"/>
      <c r="S108" s="647"/>
      <c r="T108" s="647"/>
      <c r="U108" s="647"/>
      <c r="V108" s="647"/>
      <c r="W108" s="647"/>
      <c r="X108" s="647"/>
      <c r="Y108" s="647"/>
      <c r="Z108" s="647"/>
      <c r="AA108" s="647"/>
      <c r="AB108" s="647"/>
      <c r="AC108" s="647"/>
    </row>
    <row r="109" spans="1:29" ht="36" customHeight="1">
      <c r="A109" s="653"/>
      <c r="B109" s="680"/>
      <c r="C109" s="681"/>
      <c r="D109" s="647"/>
      <c r="E109" s="647"/>
      <c r="F109" s="647"/>
      <c r="G109" s="647"/>
      <c r="H109" s="647"/>
      <c r="I109" s="647"/>
      <c r="J109" s="647"/>
      <c r="K109" s="647"/>
      <c r="L109" s="647"/>
      <c r="M109" s="647"/>
      <c r="N109" s="647"/>
      <c r="O109" s="647"/>
      <c r="P109" s="647"/>
      <c r="Q109" s="647"/>
      <c r="R109" s="647"/>
      <c r="S109" s="647"/>
      <c r="T109" s="647"/>
      <c r="U109" s="647"/>
      <c r="V109" s="647"/>
      <c r="W109" s="647"/>
      <c r="X109" s="647"/>
      <c r="Y109" s="647"/>
      <c r="Z109" s="647"/>
      <c r="AA109" s="647"/>
      <c r="AB109" s="647"/>
      <c r="AC109" s="647"/>
    </row>
    <row r="110" spans="1:29" ht="36" customHeight="1">
      <c r="A110" s="653"/>
      <c r="B110" s="680"/>
      <c r="C110" s="681"/>
      <c r="D110" s="647"/>
      <c r="E110" s="647"/>
      <c r="F110" s="647"/>
      <c r="G110" s="647"/>
      <c r="H110" s="647"/>
      <c r="I110" s="647"/>
      <c r="J110" s="647"/>
      <c r="K110" s="647"/>
      <c r="L110" s="647"/>
      <c r="M110" s="647"/>
      <c r="N110" s="647"/>
      <c r="O110" s="647"/>
      <c r="P110" s="647"/>
      <c r="Q110" s="647"/>
      <c r="R110" s="647"/>
      <c r="S110" s="647"/>
      <c r="T110" s="647"/>
      <c r="U110" s="647"/>
      <c r="V110" s="647"/>
      <c r="W110" s="647"/>
      <c r="X110" s="647"/>
      <c r="Y110" s="647"/>
      <c r="Z110" s="647"/>
      <c r="AA110" s="647"/>
      <c r="AB110" s="647"/>
      <c r="AC110" s="647"/>
    </row>
    <row r="111" spans="1:29" ht="36" customHeight="1">
      <c r="A111" s="653"/>
      <c r="B111" s="680"/>
      <c r="C111" s="681"/>
      <c r="D111" s="647"/>
      <c r="E111" s="647"/>
      <c r="F111" s="647"/>
      <c r="G111" s="647"/>
      <c r="H111" s="647"/>
      <c r="I111" s="647"/>
      <c r="J111" s="647"/>
      <c r="K111" s="647"/>
      <c r="L111" s="647"/>
      <c r="M111" s="647"/>
      <c r="N111" s="647"/>
      <c r="O111" s="647"/>
      <c r="P111" s="647"/>
      <c r="Q111" s="647"/>
      <c r="R111" s="647"/>
      <c r="S111" s="647"/>
      <c r="T111" s="647"/>
      <c r="U111" s="647"/>
      <c r="V111" s="647"/>
      <c r="W111" s="647"/>
      <c r="X111" s="647"/>
      <c r="Y111" s="647"/>
      <c r="Z111" s="647"/>
      <c r="AA111" s="647"/>
      <c r="AB111" s="647"/>
      <c r="AC111" s="647"/>
    </row>
    <row r="112" spans="1:29" ht="36" customHeight="1">
      <c r="A112" s="653"/>
      <c r="B112" s="680"/>
      <c r="C112" s="681"/>
      <c r="D112" s="647"/>
      <c r="E112" s="647"/>
      <c r="F112" s="647"/>
      <c r="G112" s="647"/>
      <c r="H112" s="647"/>
      <c r="I112" s="647"/>
      <c r="J112" s="647"/>
      <c r="K112" s="647"/>
      <c r="L112" s="647"/>
      <c r="M112" s="647"/>
      <c r="N112" s="647"/>
      <c r="O112" s="647"/>
      <c r="P112" s="647"/>
      <c r="Q112" s="647"/>
      <c r="R112" s="647"/>
      <c r="S112" s="647"/>
      <c r="T112" s="647"/>
      <c r="U112" s="647"/>
      <c r="V112" s="647"/>
      <c r="W112" s="647"/>
      <c r="X112" s="647"/>
      <c r="Y112" s="647"/>
      <c r="Z112" s="647"/>
      <c r="AA112" s="647"/>
      <c r="AB112" s="647"/>
      <c r="AC112" s="647"/>
    </row>
    <row r="113" spans="1:29" ht="36" customHeight="1">
      <c r="A113" s="653"/>
      <c r="B113" s="680"/>
      <c r="C113" s="681"/>
      <c r="D113" s="647"/>
      <c r="E113" s="647"/>
      <c r="F113" s="647"/>
      <c r="G113" s="647"/>
      <c r="H113" s="647"/>
      <c r="I113" s="647"/>
      <c r="J113" s="647"/>
      <c r="K113" s="647"/>
      <c r="L113" s="647"/>
      <c r="M113" s="647"/>
      <c r="N113" s="647"/>
      <c r="O113" s="647"/>
      <c r="P113" s="647"/>
      <c r="Q113" s="647"/>
      <c r="R113" s="647"/>
      <c r="S113" s="647"/>
      <c r="T113" s="647"/>
      <c r="U113" s="647"/>
      <c r="V113" s="647"/>
      <c r="W113" s="647"/>
      <c r="X113" s="647"/>
      <c r="Y113" s="647"/>
      <c r="Z113" s="647"/>
      <c r="AA113" s="647"/>
      <c r="AB113" s="647"/>
      <c r="AC113" s="647"/>
    </row>
    <row r="114" spans="1:29" ht="36" customHeight="1">
      <c r="A114" s="653"/>
      <c r="B114" s="680"/>
      <c r="C114" s="681"/>
      <c r="D114" s="647"/>
      <c r="E114" s="647"/>
      <c r="F114" s="647"/>
      <c r="G114" s="647"/>
      <c r="H114" s="647"/>
      <c r="I114" s="647"/>
      <c r="J114" s="647"/>
      <c r="K114" s="647"/>
      <c r="L114" s="647"/>
      <c r="M114" s="647"/>
      <c r="N114" s="647"/>
      <c r="O114" s="647"/>
      <c r="P114" s="647"/>
      <c r="Q114" s="647"/>
      <c r="R114" s="647"/>
      <c r="S114" s="647"/>
      <c r="T114" s="647"/>
      <c r="U114" s="647"/>
      <c r="V114" s="647"/>
      <c r="W114" s="647"/>
      <c r="X114" s="647"/>
      <c r="Y114" s="647"/>
      <c r="Z114" s="647"/>
      <c r="AA114" s="647"/>
      <c r="AB114" s="647"/>
      <c r="AC114" s="647"/>
    </row>
    <row r="115" spans="1:29" ht="36" customHeight="1">
      <c r="A115" s="653"/>
      <c r="B115" s="680"/>
      <c r="C115" s="681"/>
      <c r="D115" s="647"/>
      <c r="E115" s="647"/>
      <c r="F115" s="647"/>
      <c r="G115" s="647"/>
      <c r="H115" s="647"/>
      <c r="I115" s="647"/>
      <c r="J115" s="647"/>
      <c r="K115" s="647"/>
      <c r="L115" s="647"/>
      <c r="M115" s="647"/>
      <c r="N115" s="647"/>
      <c r="O115" s="647"/>
      <c r="P115" s="647"/>
      <c r="Q115" s="647"/>
      <c r="R115" s="647"/>
      <c r="S115" s="647"/>
      <c r="T115" s="647"/>
      <c r="U115" s="647"/>
      <c r="V115" s="647"/>
      <c r="W115" s="647"/>
      <c r="X115" s="647"/>
      <c r="Y115" s="647"/>
      <c r="Z115" s="647"/>
      <c r="AA115" s="647"/>
      <c r="AB115" s="647"/>
      <c r="AC115" s="647"/>
    </row>
    <row r="116" spans="1:29" ht="36" customHeight="1">
      <c r="A116" s="653"/>
      <c r="B116" s="680"/>
      <c r="C116" s="681"/>
      <c r="D116" s="647"/>
      <c r="E116" s="647"/>
      <c r="F116" s="647"/>
      <c r="G116" s="647"/>
      <c r="H116" s="647"/>
      <c r="I116" s="647"/>
      <c r="J116" s="647"/>
      <c r="K116" s="647"/>
      <c r="L116" s="647"/>
      <c r="M116" s="647"/>
      <c r="N116" s="647"/>
      <c r="O116" s="647"/>
      <c r="P116" s="647"/>
      <c r="Q116" s="647"/>
      <c r="R116" s="647"/>
      <c r="S116" s="647"/>
      <c r="T116" s="647"/>
      <c r="U116" s="647"/>
      <c r="V116" s="647"/>
      <c r="W116" s="647"/>
      <c r="X116" s="647"/>
      <c r="Y116" s="647"/>
      <c r="Z116" s="647"/>
      <c r="AA116" s="647"/>
      <c r="AB116" s="647"/>
      <c r="AC116" s="647"/>
    </row>
    <row r="117" spans="1:29" ht="36" customHeight="1">
      <c r="A117" s="653"/>
      <c r="B117" s="680"/>
      <c r="C117" s="681"/>
      <c r="D117" s="647"/>
      <c r="E117" s="647"/>
      <c r="F117" s="647"/>
      <c r="G117" s="647"/>
      <c r="H117" s="647"/>
      <c r="I117" s="647"/>
      <c r="J117" s="647"/>
      <c r="K117" s="647"/>
      <c r="L117" s="647"/>
      <c r="M117" s="647"/>
      <c r="N117" s="647"/>
      <c r="O117" s="647"/>
      <c r="P117" s="647"/>
      <c r="Q117" s="647"/>
      <c r="R117" s="647"/>
      <c r="S117" s="647"/>
      <c r="T117" s="647"/>
      <c r="U117" s="647"/>
      <c r="V117" s="647"/>
      <c r="W117" s="647"/>
      <c r="X117" s="647"/>
      <c r="Y117" s="647"/>
      <c r="Z117" s="647"/>
      <c r="AA117" s="647"/>
      <c r="AB117" s="647"/>
      <c r="AC117" s="647"/>
    </row>
    <row r="118" spans="1:29" ht="36" customHeight="1">
      <c r="A118" s="653"/>
      <c r="B118" s="680"/>
      <c r="C118" s="681"/>
      <c r="D118" s="647"/>
      <c r="E118" s="647"/>
      <c r="F118" s="647"/>
      <c r="G118" s="647"/>
      <c r="H118" s="647"/>
      <c r="I118" s="647"/>
      <c r="J118" s="647"/>
      <c r="K118" s="647"/>
      <c r="L118" s="647"/>
      <c r="M118" s="647"/>
      <c r="N118" s="647"/>
      <c r="O118" s="647"/>
      <c r="P118" s="647"/>
      <c r="Q118" s="647"/>
      <c r="R118" s="647"/>
      <c r="S118" s="647"/>
      <c r="T118" s="647"/>
      <c r="U118" s="647"/>
      <c r="V118" s="647"/>
      <c r="W118" s="647"/>
      <c r="X118" s="647"/>
      <c r="Y118" s="647"/>
      <c r="Z118" s="647"/>
      <c r="AA118" s="647"/>
      <c r="AB118" s="647"/>
      <c r="AC118" s="647"/>
    </row>
    <row r="119" spans="1:29" ht="36" customHeight="1">
      <c r="A119" s="653"/>
      <c r="B119" s="680"/>
      <c r="C119" s="681"/>
      <c r="D119" s="647"/>
      <c r="E119" s="647"/>
      <c r="F119" s="647"/>
      <c r="G119" s="647"/>
      <c r="H119" s="647"/>
      <c r="I119" s="647"/>
      <c r="J119" s="647"/>
      <c r="K119" s="647"/>
      <c r="L119" s="647"/>
      <c r="M119" s="647"/>
      <c r="N119" s="647"/>
      <c r="O119" s="647"/>
      <c r="P119" s="647"/>
      <c r="Q119" s="647"/>
      <c r="R119" s="647"/>
      <c r="S119" s="647"/>
      <c r="T119" s="647"/>
      <c r="U119" s="647"/>
      <c r="V119" s="647"/>
      <c r="W119" s="647"/>
      <c r="X119" s="647"/>
      <c r="Y119" s="647"/>
      <c r="Z119" s="647"/>
      <c r="AA119" s="647"/>
      <c r="AB119" s="647"/>
      <c r="AC119" s="647"/>
    </row>
    <row r="120" spans="1:29" ht="36" customHeight="1">
      <c r="A120" s="653"/>
      <c r="B120" s="680"/>
      <c r="C120" s="681"/>
      <c r="D120" s="647"/>
      <c r="E120" s="647"/>
      <c r="F120" s="647"/>
      <c r="G120" s="647"/>
      <c r="H120" s="647"/>
      <c r="I120" s="647"/>
      <c r="J120" s="647"/>
      <c r="K120" s="647"/>
      <c r="L120" s="647"/>
      <c r="M120" s="647"/>
      <c r="N120" s="647"/>
      <c r="O120" s="647"/>
      <c r="P120" s="647"/>
      <c r="Q120" s="647"/>
      <c r="R120" s="647"/>
      <c r="S120" s="647"/>
      <c r="T120" s="647"/>
      <c r="U120" s="647"/>
      <c r="V120" s="647"/>
      <c r="W120" s="647"/>
      <c r="X120" s="647"/>
      <c r="Y120" s="647"/>
      <c r="Z120" s="647"/>
      <c r="AA120" s="647"/>
      <c r="AB120" s="647"/>
      <c r="AC120" s="647"/>
    </row>
    <row r="121" spans="1:29" ht="36" customHeight="1">
      <c r="A121" s="653"/>
      <c r="B121" s="680"/>
      <c r="C121" s="681"/>
      <c r="D121" s="647"/>
      <c r="E121" s="647"/>
      <c r="F121" s="647"/>
      <c r="G121" s="647"/>
      <c r="H121" s="647"/>
      <c r="I121" s="647"/>
      <c r="J121" s="647"/>
      <c r="K121" s="647"/>
      <c r="L121" s="647"/>
      <c r="M121" s="647"/>
      <c r="N121" s="647"/>
      <c r="O121" s="647"/>
      <c r="P121" s="647"/>
      <c r="Q121" s="647"/>
      <c r="R121" s="647"/>
      <c r="S121" s="647"/>
      <c r="T121" s="647"/>
      <c r="U121" s="647"/>
      <c r="V121" s="647"/>
      <c r="W121" s="647"/>
      <c r="X121" s="647"/>
      <c r="Y121" s="647"/>
      <c r="Z121" s="647"/>
      <c r="AA121" s="647"/>
      <c r="AB121" s="647"/>
      <c r="AC121" s="647"/>
    </row>
    <row r="122" spans="1:29" ht="36" customHeight="1">
      <c r="A122" s="653"/>
      <c r="B122" s="680"/>
      <c r="C122" s="681"/>
      <c r="D122" s="647"/>
      <c r="E122" s="647"/>
      <c r="F122" s="647"/>
      <c r="G122" s="647"/>
      <c r="H122" s="647"/>
      <c r="I122" s="647"/>
      <c r="J122" s="647"/>
      <c r="K122" s="647"/>
      <c r="L122" s="647"/>
      <c r="M122" s="647"/>
      <c r="N122" s="647"/>
      <c r="O122" s="647"/>
      <c r="P122" s="647"/>
      <c r="Q122" s="647"/>
      <c r="R122" s="647"/>
      <c r="S122" s="647"/>
      <c r="T122" s="647"/>
      <c r="U122" s="647"/>
      <c r="V122" s="647"/>
      <c r="W122" s="647"/>
      <c r="X122" s="647"/>
      <c r="Y122" s="647"/>
      <c r="Z122" s="647"/>
      <c r="AA122" s="647"/>
      <c r="AB122" s="647"/>
      <c r="AC122" s="647"/>
    </row>
    <row r="123" spans="1:29" ht="36" customHeight="1">
      <c r="A123" s="653"/>
      <c r="B123" s="680"/>
      <c r="C123" s="681"/>
      <c r="D123" s="647"/>
      <c r="E123" s="647"/>
      <c r="F123" s="647"/>
      <c r="G123" s="647"/>
      <c r="H123" s="647"/>
      <c r="I123" s="647"/>
      <c r="J123" s="647"/>
      <c r="K123" s="647"/>
      <c r="L123" s="647"/>
      <c r="M123" s="647"/>
      <c r="N123" s="647"/>
      <c r="O123" s="647"/>
      <c r="P123" s="647"/>
      <c r="Q123" s="647"/>
      <c r="R123" s="647"/>
      <c r="S123" s="647"/>
      <c r="T123" s="647"/>
      <c r="U123" s="647"/>
      <c r="V123" s="647"/>
      <c r="W123" s="647"/>
      <c r="X123" s="647"/>
      <c r="Y123" s="647"/>
      <c r="Z123" s="647"/>
      <c r="AA123" s="647"/>
      <c r="AB123" s="647"/>
      <c r="AC123" s="647"/>
    </row>
    <row r="124" spans="1:29" ht="36" customHeight="1">
      <c r="A124" s="653"/>
      <c r="B124" s="680"/>
      <c r="C124" s="681"/>
      <c r="D124" s="647"/>
      <c r="E124" s="647"/>
      <c r="F124" s="647"/>
      <c r="G124" s="647"/>
      <c r="H124" s="647"/>
      <c r="I124" s="647"/>
      <c r="J124" s="647"/>
      <c r="K124" s="647"/>
      <c r="L124" s="647"/>
      <c r="M124" s="647"/>
      <c r="N124" s="647"/>
      <c r="O124" s="647"/>
      <c r="P124" s="647"/>
      <c r="Q124" s="647"/>
      <c r="R124" s="647"/>
      <c r="S124" s="647"/>
      <c r="T124" s="647"/>
      <c r="U124" s="647"/>
      <c r="V124" s="647"/>
      <c r="W124" s="647"/>
      <c r="X124" s="647"/>
      <c r="Y124" s="647"/>
      <c r="Z124" s="647"/>
      <c r="AA124" s="647"/>
      <c r="AB124" s="647"/>
      <c r="AC124" s="647"/>
    </row>
    <row r="125" spans="1:29" ht="36" customHeight="1">
      <c r="A125" s="653"/>
      <c r="B125" s="680"/>
      <c r="C125" s="681"/>
      <c r="D125" s="647"/>
      <c r="E125" s="647"/>
      <c r="F125" s="647"/>
      <c r="G125" s="647"/>
      <c r="H125" s="647"/>
      <c r="I125" s="647"/>
      <c r="J125" s="647"/>
      <c r="K125" s="647"/>
      <c r="L125" s="647"/>
      <c r="M125" s="647"/>
      <c r="N125" s="647"/>
      <c r="O125" s="647"/>
      <c r="P125" s="647"/>
      <c r="Q125" s="647"/>
      <c r="R125" s="647"/>
      <c r="S125" s="647"/>
      <c r="T125" s="647"/>
      <c r="U125" s="647"/>
      <c r="V125" s="647"/>
      <c r="W125" s="647"/>
      <c r="X125" s="647"/>
      <c r="Y125" s="647"/>
      <c r="Z125" s="647"/>
      <c r="AA125" s="647"/>
      <c r="AB125" s="647"/>
      <c r="AC125" s="647"/>
    </row>
    <row r="126" spans="1:29" ht="36" customHeight="1">
      <c r="A126" s="653"/>
      <c r="B126" s="680"/>
      <c r="C126" s="681"/>
      <c r="D126" s="647"/>
      <c r="E126" s="647"/>
      <c r="F126" s="647"/>
      <c r="G126" s="647"/>
      <c r="H126" s="647"/>
      <c r="I126" s="647"/>
      <c r="J126" s="647"/>
      <c r="K126" s="647"/>
      <c r="L126" s="647"/>
      <c r="M126" s="647"/>
      <c r="N126" s="647"/>
      <c r="O126" s="647"/>
      <c r="P126" s="647"/>
      <c r="Q126" s="647"/>
      <c r="R126" s="647"/>
      <c r="S126" s="647"/>
      <c r="T126" s="647"/>
      <c r="U126" s="647"/>
      <c r="V126" s="647"/>
      <c r="W126" s="647"/>
      <c r="X126" s="647"/>
      <c r="Y126" s="647"/>
      <c r="Z126" s="647"/>
      <c r="AA126" s="647"/>
      <c r="AB126" s="647"/>
      <c r="AC126" s="647"/>
    </row>
    <row r="127" spans="1:29" ht="36" customHeight="1">
      <c r="A127" s="653"/>
      <c r="B127" s="680"/>
      <c r="C127" s="681"/>
      <c r="D127" s="647"/>
      <c r="E127" s="647"/>
      <c r="F127" s="647"/>
      <c r="G127" s="647"/>
      <c r="H127" s="647"/>
      <c r="I127" s="647"/>
      <c r="J127" s="647"/>
      <c r="K127" s="647"/>
      <c r="L127" s="647"/>
      <c r="M127" s="647"/>
      <c r="N127" s="647"/>
      <c r="O127" s="647"/>
      <c r="P127" s="647"/>
      <c r="Q127" s="647"/>
      <c r="R127" s="647"/>
      <c r="S127" s="647"/>
      <c r="T127" s="647"/>
      <c r="U127" s="647"/>
      <c r="V127" s="647"/>
      <c r="W127" s="647"/>
      <c r="X127" s="647"/>
      <c r="Y127" s="647"/>
      <c r="Z127" s="647"/>
      <c r="AA127" s="647"/>
      <c r="AB127" s="647"/>
      <c r="AC127" s="647"/>
    </row>
    <row r="128" spans="1:29" ht="36" customHeight="1">
      <c r="A128" s="653"/>
      <c r="B128" s="680"/>
      <c r="C128" s="681"/>
      <c r="D128" s="647"/>
      <c r="E128" s="647"/>
      <c r="F128" s="647"/>
      <c r="G128" s="647"/>
      <c r="H128" s="647"/>
      <c r="I128" s="647"/>
      <c r="J128" s="647"/>
      <c r="K128" s="647"/>
      <c r="L128" s="647"/>
      <c r="M128" s="647"/>
      <c r="N128" s="647"/>
      <c r="O128" s="647"/>
      <c r="P128" s="647"/>
      <c r="Q128" s="647"/>
      <c r="R128" s="647"/>
      <c r="S128" s="647"/>
      <c r="T128" s="647"/>
      <c r="U128" s="647"/>
      <c r="V128" s="647"/>
      <c r="W128" s="647"/>
      <c r="X128" s="647"/>
      <c r="Y128" s="647"/>
      <c r="Z128" s="647"/>
      <c r="AA128" s="647"/>
      <c r="AB128" s="647"/>
      <c r="AC128" s="647"/>
    </row>
    <row r="129" spans="1:29" ht="36" customHeight="1">
      <c r="A129" s="653"/>
      <c r="B129" s="680"/>
      <c r="C129" s="681"/>
      <c r="D129" s="647"/>
      <c r="E129" s="647"/>
      <c r="F129" s="647"/>
      <c r="G129" s="647"/>
      <c r="H129" s="647"/>
      <c r="I129" s="647"/>
      <c r="J129" s="647"/>
      <c r="K129" s="647"/>
      <c r="L129" s="647"/>
      <c r="M129" s="647"/>
      <c r="N129" s="647"/>
      <c r="O129" s="647"/>
      <c r="P129" s="647"/>
      <c r="Q129" s="647"/>
      <c r="R129" s="647"/>
      <c r="S129" s="647"/>
      <c r="T129" s="647"/>
      <c r="U129" s="647"/>
      <c r="V129" s="647"/>
      <c r="W129" s="647"/>
      <c r="X129" s="647"/>
      <c r="Y129" s="647"/>
      <c r="Z129" s="647"/>
      <c r="AA129" s="647"/>
      <c r="AB129" s="647"/>
      <c r="AC129" s="647"/>
    </row>
    <row r="130" spans="1:29" ht="36" customHeight="1">
      <c r="A130" s="653"/>
      <c r="B130" s="680"/>
      <c r="C130" s="681"/>
      <c r="D130" s="647"/>
      <c r="E130" s="647"/>
      <c r="F130" s="647"/>
      <c r="G130" s="647"/>
      <c r="H130" s="647"/>
      <c r="I130" s="647"/>
      <c r="J130" s="647"/>
      <c r="K130" s="647"/>
      <c r="L130" s="647"/>
      <c r="M130" s="647"/>
      <c r="N130" s="647"/>
      <c r="O130" s="647"/>
      <c r="P130" s="647"/>
      <c r="Q130" s="647"/>
      <c r="R130" s="647"/>
      <c r="S130" s="647"/>
      <c r="T130" s="647"/>
      <c r="U130" s="647"/>
      <c r="V130" s="647"/>
      <c r="W130" s="647"/>
      <c r="X130" s="647"/>
      <c r="Y130" s="647"/>
      <c r="Z130" s="647"/>
      <c r="AA130" s="647"/>
      <c r="AB130" s="647"/>
      <c r="AC130" s="647"/>
    </row>
    <row r="131" spans="1:29" ht="36" customHeight="1">
      <c r="A131" s="653"/>
      <c r="B131" s="680"/>
      <c r="C131" s="681"/>
      <c r="D131" s="647"/>
      <c r="E131" s="647"/>
      <c r="F131" s="647"/>
      <c r="G131" s="647"/>
      <c r="H131" s="647"/>
      <c r="I131" s="647"/>
      <c r="J131" s="647"/>
      <c r="K131" s="647"/>
      <c r="L131" s="647"/>
      <c r="M131" s="647"/>
      <c r="N131" s="647"/>
      <c r="O131" s="647"/>
      <c r="P131" s="647"/>
      <c r="Q131" s="647"/>
      <c r="R131" s="647"/>
      <c r="S131" s="647"/>
      <c r="T131" s="647"/>
      <c r="U131" s="647"/>
      <c r="V131" s="647"/>
      <c r="W131" s="647"/>
      <c r="X131" s="647"/>
      <c r="Y131" s="647"/>
      <c r="Z131" s="647"/>
      <c r="AA131" s="647"/>
      <c r="AB131" s="647"/>
      <c r="AC131" s="647"/>
    </row>
    <row r="132" spans="1:29" ht="36" customHeight="1">
      <c r="A132" s="653"/>
      <c r="B132" s="680"/>
      <c r="C132" s="681"/>
      <c r="D132" s="647"/>
      <c r="E132" s="647"/>
      <c r="F132" s="647"/>
      <c r="G132" s="647"/>
      <c r="H132" s="647"/>
      <c r="I132" s="647"/>
      <c r="J132" s="647"/>
      <c r="K132" s="647"/>
      <c r="L132" s="647"/>
      <c r="M132" s="647"/>
      <c r="N132" s="647"/>
      <c r="O132" s="647"/>
      <c r="P132" s="647"/>
      <c r="Q132" s="647"/>
      <c r="R132" s="647"/>
      <c r="S132" s="647"/>
      <c r="T132" s="647"/>
      <c r="U132" s="647"/>
      <c r="V132" s="647"/>
      <c r="W132" s="647"/>
      <c r="X132" s="647"/>
      <c r="Y132" s="647"/>
      <c r="Z132" s="647"/>
      <c r="AA132" s="647"/>
      <c r="AB132" s="647"/>
      <c r="AC132" s="647"/>
    </row>
    <row r="133" spans="1:29" ht="36" customHeight="1">
      <c r="A133" s="653"/>
      <c r="B133" s="680"/>
      <c r="C133" s="681"/>
      <c r="D133" s="647"/>
      <c r="E133" s="647"/>
      <c r="F133" s="647"/>
      <c r="G133" s="647"/>
      <c r="H133" s="647"/>
      <c r="I133" s="647"/>
      <c r="J133" s="647"/>
      <c r="K133" s="647"/>
      <c r="L133" s="647"/>
      <c r="M133" s="647"/>
      <c r="N133" s="647"/>
      <c r="O133" s="647"/>
      <c r="P133" s="647"/>
      <c r="Q133" s="647"/>
      <c r="R133" s="647"/>
      <c r="S133" s="647"/>
      <c r="T133" s="647"/>
      <c r="U133" s="647"/>
      <c r="V133" s="647"/>
      <c r="W133" s="647"/>
      <c r="X133" s="647"/>
      <c r="Y133" s="647"/>
      <c r="Z133" s="647"/>
      <c r="AA133" s="647"/>
      <c r="AB133" s="647"/>
      <c r="AC133" s="647"/>
    </row>
    <row r="134" spans="1:29" ht="36" customHeight="1">
      <c r="A134" s="653"/>
      <c r="B134" s="680"/>
      <c r="C134" s="681"/>
      <c r="D134" s="647"/>
      <c r="E134" s="647"/>
      <c r="F134" s="647"/>
      <c r="G134" s="647"/>
      <c r="H134" s="647"/>
      <c r="I134" s="647"/>
      <c r="J134" s="647"/>
      <c r="K134" s="647"/>
      <c r="L134" s="647"/>
      <c r="M134" s="647"/>
      <c r="N134" s="647"/>
      <c r="O134" s="647"/>
      <c r="P134" s="647"/>
      <c r="Q134" s="647"/>
      <c r="R134" s="647"/>
      <c r="S134" s="647"/>
      <c r="T134" s="647"/>
      <c r="U134" s="647"/>
      <c r="V134" s="647"/>
      <c r="W134" s="647"/>
      <c r="X134" s="647"/>
      <c r="Y134" s="647"/>
      <c r="Z134" s="647"/>
      <c r="AA134" s="647"/>
      <c r="AB134" s="647"/>
      <c r="AC134" s="647"/>
    </row>
    <row r="135" spans="1:29" ht="36" customHeight="1">
      <c r="A135" s="653"/>
      <c r="B135" s="680"/>
      <c r="C135" s="681"/>
      <c r="D135" s="647"/>
      <c r="E135" s="647"/>
      <c r="F135" s="647"/>
      <c r="G135" s="647"/>
      <c r="H135" s="647"/>
      <c r="I135" s="647"/>
      <c r="J135" s="647"/>
      <c r="K135" s="647"/>
      <c r="L135" s="647"/>
      <c r="M135" s="647"/>
      <c r="N135" s="647"/>
      <c r="O135" s="647"/>
      <c r="P135" s="647"/>
      <c r="Q135" s="647"/>
      <c r="R135" s="647"/>
      <c r="S135" s="647"/>
      <c r="T135" s="647"/>
      <c r="U135" s="647"/>
      <c r="V135" s="647"/>
      <c r="W135" s="647"/>
      <c r="X135" s="647"/>
      <c r="Y135" s="647"/>
      <c r="Z135" s="647"/>
      <c r="AA135" s="647"/>
      <c r="AB135" s="647"/>
      <c r="AC135" s="647"/>
    </row>
    <row r="136" spans="1:29" ht="36" customHeight="1">
      <c r="A136" s="653"/>
      <c r="B136" s="680"/>
      <c r="C136" s="681"/>
      <c r="D136" s="647"/>
      <c r="E136" s="647"/>
      <c r="F136" s="647"/>
      <c r="G136" s="647"/>
      <c r="H136" s="647"/>
      <c r="I136" s="647"/>
      <c r="J136" s="647"/>
      <c r="K136" s="647"/>
      <c r="L136" s="647"/>
      <c r="M136" s="647"/>
      <c r="N136" s="647"/>
      <c r="O136" s="647"/>
      <c r="P136" s="647"/>
      <c r="Q136" s="647"/>
      <c r="R136" s="647"/>
      <c r="S136" s="647"/>
      <c r="T136" s="647"/>
      <c r="U136" s="647"/>
      <c r="V136" s="647"/>
      <c r="W136" s="647"/>
      <c r="X136" s="647"/>
      <c r="Y136" s="647"/>
      <c r="Z136" s="647"/>
      <c r="AA136" s="647"/>
      <c r="AB136" s="647"/>
      <c r="AC136" s="647"/>
    </row>
    <row r="137" spans="1:29" ht="36" customHeight="1">
      <c r="A137" s="653"/>
      <c r="B137" s="680"/>
      <c r="C137" s="681"/>
      <c r="D137" s="647"/>
      <c r="E137" s="647"/>
      <c r="F137" s="647"/>
      <c r="G137" s="647"/>
      <c r="H137" s="647"/>
      <c r="I137" s="647"/>
      <c r="J137" s="647"/>
      <c r="K137" s="647"/>
      <c r="L137" s="647"/>
      <c r="M137" s="647"/>
      <c r="N137" s="647"/>
      <c r="O137" s="647"/>
      <c r="P137" s="647"/>
      <c r="Q137" s="647"/>
      <c r="R137" s="647"/>
      <c r="S137" s="647"/>
      <c r="T137" s="647"/>
      <c r="U137" s="647"/>
      <c r="V137" s="647"/>
      <c r="W137" s="647"/>
      <c r="X137" s="647"/>
      <c r="Y137" s="647"/>
      <c r="Z137" s="647"/>
      <c r="AA137" s="647"/>
      <c r="AB137" s="647"/>
      <c r="AC137" s="647"/>
    </row>
    <row r="138" spans="1:29" ht="36" customHeight="1">
      <c r="A138" s="653"/>
      <c r="B138" s="680"/>
      <c r="C138" s="681"/>
      <c r="D138" s="647"/>
      <c r="E138" s="647"/>
      <c r="F138" s="647"/>
      <c r="G138" s="647"/>
      <c r="H138" s="647"/>
      <c r="I138" s="647"/>
      <c r="J138" s="647"/>
      <c r="K138" s="647"/>
      <c r="L138" s="647"/>
      <c r="M138" s="647"/>
      <c r="N138" s="647"/>
      <c r="O138" s="647"/>
      <c r="P138" s="647"/>
      <c r="Q138" s="647"/>
      <c r="R138" s="647"/>
      <c r="S138" s="647"/>
      <c r="T138" s="647"/>
      <c r="U138" s="647"/>
      <c r="V138" s="647"/>
      <c r="W138" s="647"/>
      <c r="X138" s="647"/>
      <c r="Y138" s="647"/>
      <c r="Z138" s="647"/>
      <c r="AA138" s="647"/>
      <c r="AB138" s="647"/>
      <c r="AC138" s="647"/>
    </row>
    <row r="139" spans="1:29" ht="36" customHeight="1">
      <c r="A139" s="653"/>
      <c r="B139" s="680"/>
      <c r="C139" s="681"/>
      <c r="D139" s="647"/>
      <c r="E139" s="647"/>
      <c r="F139" s="647"/>
      <c r="G139" s="647"/>
      <c r="H139" s="647"/>
      <c r="I139" s="647"/>
      <c r="J139" s="647"/>
      <c r="K139" s="647"/>
      <c r="L139" s="647"/>
      <c r="M139" s="647"/>
      <c r="N139" s="647"/>
      <c r="O139" s="647"/>
      <c r="P139" s="647"/>
      <c r="Q139" s="647"/>
      <c r="R139" s="647"/>
      <c r="S139" s="647"/>
      <c r="T139" s="647"/>
      <c r="U139" s="647"/>
      <c r="V139" s="647"/>
      <c r="W139" s="647"/>
      <c r="X139" s="647"/>
      <c r="Y139" s="647"/>
      <c r="Z139" s="647"/>
      <c r="AA139" s="647"/>
      <c r="AB139" s="647"/>
      <c r="AC139" s="647"/>
    </row>
    <row r="140" spans="1:29" ht="36" customHeight="1">
      <c r="A140" s="653"/>
      <c r="B140" s="680"/>
      <c r="C140" s="681"/>
      <c r="D140" s="647"/>
      <c r="E140" s="647"/>
      <c r="F140" s="647"/>
      <c r="G140" s="647"/>
      <c r="H140" s="647"/>
      <c r="I140" s="647"/>
      <c r="J140" s="647"/>
      <c r="K140" s="647"/>
      <c r="L140" s="647"/>
      <c r="M140" s="647"/>
      <c r="N140" s="647"/>
      <c r="O140" s="647"/>
      <c r="P140" s="647"/>
      <c r="Q140" s="647"/>
      <c r="R140" s="647"/>
      <c r="S140" s="647"/>
      <c r="T140" s="647"/>
      <c r="U140" s="647"/>
      <c r="V140" s="647"/>
      <c r="W140" s="647"/>
      <c r="X140" s="647"/>
      <c r="Y140" s="647"/>
      <c r="Z140" s="647"/>
      <c r="AA140" s="647"/>
      <c r="AB140" s="647"/>
      <c r="AC140" s="647"/>
    </row>
    <row r="141" spans="1:29" ht="36" customHeight="1">
      <c r="A141" s="653"/>
      <c r="B141" s="680"/>
      <c r="C141" s="681"/>
      <c r="D141" s="647"/>
      <c r="E141" s="647"/>
      <c r="F141" s="647"/>
      <c r="G141" s="647"/>
      <c r="H141" s="647"/>
      <c r="I141" s="647"/>
      <c r="J141" s="647"/>
      <c r="K141" s="647"/>
      <c r="L141" s="647"/>
      <c r="M141" s="647"/>
      <c r="N141" s="647"/>
      <c r="O141" s="647"/>
      <c r="P141" s="647"/>
      <c r="Q141" s="647"/>
      <c r="R141" s="647"/>
      <c r="S141" s="647"/>
      <c r="T141" s="647"/>
      <c r="U141" s="647"/>
      <c r="V141" s="647"/>
      <c r="W141" s="647"/>
      <c r="X141" s="647"/>
      <c r="Y141" s="647"/>
      <c r="Z141" s="647"/>
      <c r="AA141" s="647"/>
      <c r="AB141" s="647"/>
      <c r="AC141" s="647"/>
    </row>
    <row r="142" spans="1:29" ht="36" customHeight="1">
      <c r="A142" s="653"/>
      <c r="B142" s="680"/>
      <c r="C142" s="681"/>
      <c r="D142" s="647"/>
      <c r="E142" s="647"/>
      <c r="F142" s="647"/>
      <c r="G142" s="647"/>
      <c r="H142" s="647"/>
      <c r="I142" s="647"/>
      <c r="J142" s="647"/>
      <c r="K142" s="647"/>
      <c r="L142" s="647"/>
      <c r="M142" s="647"/>
      <c r="N142" s="647"/>
      <c r="O142" s="647"/>
      <c r="P142" s="647"/>
      <c r="Q142" s="647"/>
      <c r="R142" s="647"/>
      <c r="S142" s="647"/>
      <c r="T142" s="647"/>
      <c r="U142" s="647"/>
      <c r="V142" s="647"/>
      <c r="W142" s="647"/>
      <c r="X142" s="647"/>
      <c r="Y142" s="647"/>
      <c r="Z142" s="647"/>
      <c r="AA142" s="647"/>
      <c r="AB142" s="647"/>
      <c r="AC142" s="647"/>
    </row>
    <row r="143" spans="1:29" ht="36" customHeight="1">
      <c r="A143" s="653"/>
      <c r="B143" s="680"/>
      <c r="C143" s="681"/>
      <c r="D143" s="647"/>
      <c r="E143" s="647"/>
      <c r="F143" s="647"/>
      <c r="G143" s="647"/>
      <c r="H143" s="647"/>
      <c r="I143" s="647"/>
      <c r="J143" s="647"/>
      <c r="K143" s="647"/>
      <c r="L143" s="647"/>
      <c r="M143" s="647"/>
      <c r="N143" s="647"/>
      <c r="O143" s="647"/>
      <c r="P143" s="647"/>
      <c r="Q143" s="647"/>
      <c r="R143" s="647"/>
      <c r="S143" s="647"/>
      <c r="T143" s="647"/>
      <c r="U143" s="647"/>
      <c r="V143" s="647"/>
      <c r="W143" s="647"/>
      <c r="X143" s="647"/>
      <c r="Y143" s="647"/>
      <c r="Z143" s="647"/>
      <c r="AA143" s="647"/>
      <c r="AB143" s="647"/>
      <c r="AC143" s="647"/>
    </row>
    <row r="144" spans="1:29" ht="36" customHeight="1">
      <c r="A144" s="653"/>
      <c r="B144" s="680"/>
      <c r="C144" s="681"/>
      <c r="D144" s="647"/>
      <c r="E144" s="647"/>
      <c r="F144" s="647"/>
      <c r="G144" s="647"/>
      <c r="H144" s="647"/>
      <c r="I144" s="647"/>
      <c r="J144" s="647"/>
      <c r="K144" s="647"/>
      <c r="L144" s="647"/>
      <c r="M144" s="647"/>
      <c r="N144" s="647"/>
      <c r="O144" s="647"/>
      <c r="P144" s="647"/>
      <c r="Q144" s="647"/>
      <c r="R144" s="647"/>
      <c r="S144" s="647"/>
      <c r="T144" s="647"/>
      <c r="U144" s="647"/>
      <c r="V144" s="647"/>
      <c r="W144" s="647"/>
      <c r="X144" s="647"/>
      <c r="Y144" s="647"/>
      <c r="Z144" s="647"/>
      <c r="AA144" s="647"/>
      <c r="AB144" s="647"/>
      <c r="AC144" s="647"/>
    </row>
    <row r="145" spans="1:29" ht="36" customHeight="1">
      <c r="A145" s="653"/>
      <c r="B145" s="680"/>
      <c r="C145" s="681"/>
      <c r="D145" s="647"/>
      <c r="E145" s="647"/>
      <c r="F145" s="647"/>
      <c r="G145" s="647"/>
      <c r="H145" s="647"/>
      <c r="I145" s="647"/>
      <c r="J145" s="647"/>
      <c r="K145" s="647"/>
      <c r="L145" s="647"/>
      <c r="M145" s="647"/>
      <c r="N145" s="647"/>
      <c r="O145" s="647"/>
      <c r="P145" s="647"/>
      <c r="Q145" s="647"/>
      <c r="R145" s="647"/>
      <c r="S145" s="647"/>
      <c r="T145" s="647"/>
      <c r="U145" s="647"/>
      <c r="V145" s="647"/>
      <c r="W145" s="647"/>
      <c r="X145" s="647"/>
      <c r="Y145" s="647"/>
      <c r="Z145" s="647"/>
      <c r="AA145" s="647"/>
      <c r="AB145" s="647"/>
      <c r="AC145" s="647"/>
    </row>
    <row r="146" spans="1:29" ht="36" customHeight="1">
      <c r="A146" s="653"/>
      <c r="B146" s="680"/>
      <c r="C146" s="681"/>
      <c r="D146" s="647"/>
      <c r="E146" s="647"/>
      <c r="F146" s="647"/>
      <c r="G146" s="647"/>
      <c r="H146" s="647"/>
      <c r="I146" s="647"/>
      <c r="J146" s="647"/>
      <c r="K146" s="647"/>
      <c r="L146" s="647"/>
      <c r="M146" s="647"/>
      <c r="N146" s="647"/>
      <c r="O146" s="647"/>
      <c r="P146" s="647"/>
      <c r="Q146" s="647"/>
      <c r="R146" s="647"/>
      <c r="S146" s="647"/>
      <c r="T146" s="647"/>
      <c r="U146" s="647"/>
      <c r="V146" s="647"/>
      <c r="W146" s="647"/>
      <c r="X146" s="647"/>
      <c r="Y146" s="647"/>
      <c r="Z146" s="647"/>
      <c r="AA146" s="647"/>
      <c r="AB146" s="647"/>
      <c r="AC146" s="647"/>
    </row>
    <row r="147" spans="1:29" ht="36" customHeight="1">
      <c r="A147" s="653"/>
      <c r="B147" s="680"/>
      <c r="C147" s="681"/>
      <c r="D147" s="647"/>
      <c r="E147" s="647"/>
      <c r="F147" s="647"/>
      <c r="G147" s="647"/>
      <c r="H147" s="647"/>
      <c r="I147" s="647"/>
      <c r="J147" s="647"/>
      <c r="K147" s="647"/>
      <c r="L147" s="647"/>
      <c r="M147" s="647"/>
      <c r="N147" s="647"/>
      <c r="O147" s="647"/>
      <c r="P147" s="647"/>
      <c r="Q147" s="647"/>
      <c r="R147" s="647"/>
      <c r="S147" s="647"/>
      <c r="T147" s="647"/>
      <c r="U147" s="647"/>
      <c r="V147" s="647"/>
      <c r="W147" s="647"/>
      <c r="X147" s="647"/>
      <c r="Y147" s="647"/>
      <c r="Z147" s="647"/>
      <c r="AA147" s="647"/>
      <c r="AB147" s="647"/>
      <c r="AC147" s="647"/>
    </row>
    <row r="148" spans="1:29" ht="36" customHeight="1">
      <c r="A148" s="653"/>
      <c r="B148" s="680"/>
      <c r="C148" s="681"/>
      <c r="D148" s="647"/>
      <c r="E148" s="647"/>
      <c r="F148" s="647"/>
      <c r="G148" s="647"/>
      <c r="H148" s="647"/>
      <c r="I148" s="647"/>
      <c r="J148" s="647"/>
      <c r="K148" s="647"/>
      <c r="L148" s="647"/>
      <c r="M148" s="647"/>
      <c r="N148" s="647"/>
      <c r="O148" s="647"/>
      <c r="P148" s="647"/>
      <c r="Q148" s="647"/>
      <c r="R148" s="647"/>
      <c r="S148" s="647"/>
      <c r="T148" s="647"/>
      <c r="U148" s="647"/>
      <c r="V148" s="647"/>
      <c r="W148" s="647"/>
      <c r="X148" s="647"/>
      <c r="Y148" s="647"/>
      <c r="Z148" s="647"/>
      <c r="AA148" s="647"/>
      <c r="AB148" s="647"/>
      <c r="AC148" s="647"/>
    </row>
    <row r="149" spans="1:29" ht="36" customHeight="1">
      <c r="A149" s="653"/>
      <c r="B149" s="680"/>
      <c r="C149" s="681"/>
      <c r="D149" s="647"/>
      <c r="E149" s="647"/>
      <c r="F149" s="647"/>
      <c r="G149" s="647"/>
      <c r="H149" s="647"/>
      <c r="I149" s="647"/>
      <c r="J149" s="647"/>
      <c r="K149" s="647"/>
      <c r="L149" s="647"/>
      <c r="M149" s="647"/>
      <c r="N149" s="647"/>
      <c r="O149" s="647"/>
      <c r="P149" s="647"/>
      <c r="Q149" s="647"/>
      <c r="R149" s="647"/>
      <c r="S149" s="647"/>
      <c r="T149" s="647"/>
      <c r="U149" s="647"/>
      <c r="V149" s="647"/>
      <c r="W149" s="647"/>
      <c r="X149" s="647"/>
      <c r="Y149" s="647"/>
      <c r="Z149" s="647"/>
      <c r="AA149" s="647"/>
      <c r="AB149" s="647"/>
      <c r="AC149" s="647"/>
    </row>
    <row r="150" spans="1:29" ht="36" customHeight="1">
      <c r="A150" s="653"/>
      <c r="B150" s="680"/>
      <c r="C150" s="681"/>
      <c r="D150" s="647"/>
      <c r="E150" s="647"/>
      <c r="F150" s="647"/>
      <c r="G150" s="647"/>
      <c r="H150" s="647"/>
      <c r="I150" s="647"/>
      <c r="J150" s="647"/>
      <c r="K150" s="647"/>
      <c r="L150" s="647"/>
      <c r="M150" s="647"/>
      <c r="N150" s="647"/>
      <c r="O150" s="647"/>
      <c r="P150" s="647"/>
      <c r="Q150" s="647"/>
      <c r="R150" s="647"/>
      <c r="S150" s="647"/>
      <c r="T150" s="647"/>
      <c r="U150" s="647"/>
      <c r="V150" s="647"/>
      <c r="W150" s="647"/>
      <c r="X150" s="647"/>
      <c r="Y150" s="647"/>
      <c r="Z150" s="647"/>
      <c r="AA150" s="647"/>
      <c r="AB150" s="647"/>
      <c r="AC150" s="647"/>
    </row>
    <row r="151" spans="1:29" ht="36" customHeight="1">
      <c r="A151" s="653"/>
      <c r="B151" s="680"/>
      <c r="C151" s="681"/>
      <c r="D151" s="647"/>
      <c r="E151" s="647"/>
      <c r="F151" s="647"/>
      <c r="G151" s="647"/>
      <c r="H151" s="647"/>
      <c r="I151" s="647"/>
      <c r="J151" s="647"/>
      <c r="K151" s="647"/>
      <c r="L151" s="647"/>
      <c r="M151" s="647"/>
      <c r="N151" s="647"/>
      <c r="O151" s="647"/>
      <c r="P151" s="647"/>
      <c r="Q151" s="647"/>
      <c r="R151" s="647"/>
      <c r="S151" s="647"/>
      <c r="T151" s="647"/>
      <c r="U151" s="647"/>
      <c r="V151" s="647"/>
      <c r="W151" s="647"/>
      <c r="X151" s="647"/>
      <c r="Y151" s="647"/>
      <c r="Z151" s="647"/>
      <c r="AA151" s="647"/>
      <c r="AB151" s="647"/>
      <c r="AC151" s="647"/>
    </row>
    <row r="152" spans="1:29" ht="36" customHeight="1">
      <c r="A152" s="653"/>
      <c r="B152" s="680"/>
      <c r="C152" s="681"/>
      <c r="D152" s="647"/>
      <c r="E152" s="647"/>
      <c r="F152" s="647"/>
      <c r="G152" s="647"/>
      <c r="H152" s="647"/>
      <c r="I152" s="647"/>
      <c r="J152" s="647"/>
      <c r="K152" s="647"/>
      <c r="L152" s="647"/>
      <c r="M152" s="647"/>
      <c r="N152" s="647"/>
      <c r="O152" s="647"/>
      <c r="P152" s="647"/>
      <c r="Q152" s="647"/>
      <c r="R152" s="647"/>
      <c r="S152" s="647"/>
      <c r="T152" s="647"/>
      <c r="U152" s="647"/>
      <c r="V152" s="647"/>
      <c r="W152" s="647"/>
      <c r="X152" s="647"/>
      <c r="Y152" s="647"/>
      <c r="Z152" s="647"/>
      <c r="AA152" s="647"/>
      <c r="AB152" s="647"/>
      <c r="AC152" s="647"/>
    </row>
    <row r="153" spans="1:29" ht="36" customHeight="1">
      <c r="A153" s="653"/>
      <c r="B153" s="680"/>
      <c r="C153" s="681"/>
      <c r="D153" s="647"/>
      <c r="E153" s="647"/>
      <c r="F153" s="647"/>
      <c r="G153" s="647"/>
      <c r="H153" s="647"/>
      <c r="I153" s="647"/>
      <c r="J153" s="647"/>
      <c r="K153" s="647"/>
      <c r="L153" s="647"/>
      <c r="M153" s="647"/>
      <c r="N153" s="647"/>
      <c r="O153" s="647"/>
      <c r="P153" s="647"/>
      <c r="Q153" s="647"/>
      <c r="R153" s="647"/>
      <c r="S153" s="647"/>
      <c r="T153" s="647"/>
      <c r="U153" s="647"/>
      <c r="V153" s="647"/>
      <c r="W153" s="647"/>
      <c r="X153" s="647"/>
      <c r="Y153" s="647"/>
      <c r="Z153" s="647"/>
      <c r="AA153" s="647"/>
      <c r="AB153" s="647"/>
      <c r="AC153" s="647"/>
    </row>
    <row r="154" spans="1:29" ht="36" customHeight="1">
      <c r="A154" s="653"/>
      <c r="B154" s="680"/>
      <c r="C154" s="681"/>
      <c r="D154" s="647"/>
      <c r="E154" s="647"/>
      <c r="F154" s="647"/>
      <c r="G154" s="647"/>
      <c r="H154" s="647"/>
      <c r="I154" s="647"/>
      <c r="J154" s="647"/>
      <c r="K154" s="647"/>
      <c r="L154" s="647"/>
      <c r="M154" s="647"/>
      <c r="N154" s="647"/>
      <c r="O154" s="647"/>
      <c r="P154" s="647"/>
      <c r="Q154" s="647"/>
      <c r="R154" s="647"/>
      <c r="S154" s="647"/>
      <c r="T154" s="647"/>
      <c r="U154" s="647"/>
      <c r="V154" s="647"/>
      <c r="W154" s="647"/>
      <c r="X154" s="647"/>
      <c r="Y154" s="647"/>
      <c r="Z154" s="647"/>
      <c r="AA154" s="647"/>
      <c r="AB154" s="647"/>
      <c r="AC154" s="647"/>
    </row>
    <row r="155" spans="1:29" ht="36" customHeight="1">
      <c r="A155" s="653"/>
      <c r="B155" s="680"/>
      <c r="C155" s="681"/>
      <c r="D155" s="647"/>
      <c r="E155" s="647"/>
      <c r="F155" s="647"/>
      <c r="G155" s="647"/>
      <c r="H155" s="647"/>
      <c r="I155" s="647"/>
      <c r="J155" s="647"/>
      <c r="K155" s="647"/>
      <c r="L155" s="647"/>
      <c r="M155" s="647"/>
      <c r="N155" s="647"/>
      <c r="O155" s="647"/>
      <c r="P155" s="647"/>
      <c r="Q155" s="647"/>
      <c r="R155" s="647"/>
      <c r="S155" s="647"/>
      <c r="T155" s="647"/>
      <c r="U155" s="647"/>
      <c r="V155" s="647"/>
      <c r="W155" s="647"/>
      <c r="X155" s="647"/>
      <c r="Y155" s="647"/>
      <c r="Z155" s="647"/>
      <c r="AA155" s="647"/>
      <c r="AB155" s="647"/>
      <c r="AC155" s="647"/>
    </row>
    <row r="156" spans="1:29" ht="36" customHeight="1">
      <c r="A156" s="653"/>
      <c r="B156" s="680"/>
      <c r="C156" s="681"/>
      <c r="D156" s="647"/>
      <c r="E156" s="647"/>
      <c r="F156" s="647"/>
      <c r="G156" s="647"/>
      <c r="H156" s="647"/>
      <c r="I156" s="647"/>
      <c r="J156" s="647"/>
      <c r="K156" s="647"/>
      <c r="L156" s="647"/>
      <c r="M156" s="647"/>
      <c r="N156" s="647"/>
      <c r="O156" s="647"/>
      <c r="P156" s="647"/>
      <c r="Q156" s="647"/>
      <c r="R156" s="647"/>
      <c r="S156" s="647"/>
      <c r="T156" s="647"/>
      <c r="U156" s="647"/>
      <c r="V156" s="647"/>
      <c r="W156" s="647"/>
      <c r="X156" s="647"/>
      <c r="Y156" s="647"/>
      <c r="Z156" s="647"/>
      <c r="AA156" s="647"/>
      <c r="AB156" s="647"/>
      <c r="AC156" s="647"/>
    </row>
    <row r="157" spans="1:29" ht="36" customHeight="1">
      <c r="A157" s="653"/>
      <c r="B157" s="680"/>
      <c r="C157" s="681"/>
      <c r="D157" s="647"/>
      <c r="E157" s="647"/>
      <c r="F157" s="647"/>
      <c r="G157" s="647"/>
      <c r="H157" s="647"/>
      <c r="I157" s="647"/>
      <c r="J157" s="647"/>
      <c r="K157" s="647"/>
      <c r="L157" s="647"/>
      <c r="M157" s="647"/>
      <c r="N157" s="647"/>
      <c r="O157" s="647"/>
      <c r="P157" s="647"/>
      <c r="Q157" s="647"/>
      <c r="R157" s="647"/>
      <c r="S157" s="647"/>
      <c r="T157" s="647"/>
      <c r="U157" s="647"/>
      <c r="V157" s="647"/>
      <c r="W157" s="647"/>
      <c r="X157" s="647"/>
      <c r="Y157" s="647"/>
      <c r="Z157" s="647"/>
      <c r="AA157" s="647"/>
      <c r="AB157" s="647"/>
      <c r="AC157" s="647"/>
    </row>
    <row r="158" spans="1:29" ht="36" customHeight="1">
      <c r="A158" s="653"/>
      <c r="B158" s="680"/>
      <c r="C158" s="681"/>
      <c r="D158" s="647"/>
      <c r="E158" s="647"/>
      <c r="F158" s="647"/>
      <c r="G158" s="647"/>
      <c r="H158" s="647"/>
      <c r="I158" s="647"/>
      <c r="J158" s="647"/>
      <c r="K158" s="647"/>
      <c r="L158" s="647"/>
      <c r="M158" s="647"/>
      <c r="N158" s="647"/>
      <c r="O158" s="647"/>
      <c r="P158" s="647"/>
      <c r="Q158" s="647"/>
      <c r="R158" s="647"/>
      <c r="S158" s="647"/>
      <c r="T158" s="647"/>
      <c r="U158" s="647"/>
      <c r="V158" s="647"/>
      <c r="W158" s="647"/>
      <c r="X158" s="647"/>
      <c r="Y158" s="647"/>
      <c r="Z158" s="647"/>
      <c r="AA158" s="647"/>
      <c r="AB158" s="647"/>
      <c r="AC158" s="647"/>
    </row>
    <row r="159" spans="1:29" ht="36" customHeight="1">
      <c r="A159" s="653"/>
      <c r="B159" s="680"/>
      <c r="C159" s="681"/>
      <c r="D159" s="647"/>
      <c r="E159" s="647"/>
      <c r="F159" s="647"/>
      <c r="G159" s="647"/>
      <c r="H159" s="647"/>
      <c r="I159" s="647"/>
      <c r="J159" s="647"/>
      <c r="K159" s="647"/>
      <c r="L159" s="647"/>
      <c r="M159" s="647"/>
      <c r="N159" s="647"/>
      <c r="O159" s="647"/>
      <c r="P159" s="647"/>
      <c r="Q159" s="647"/>
      <c r="R159" s="647"/>
      <c r="S159" s="647"/>
      <c r="T159" s="647"/>
      <c r="U159" s="647"/>
      <c r="V159" s="647"/>
      <c r="W159" s="647"/>
      <c r="X159" s="647"/>
      <c r="Y159" s="647"/>
      <c r="Z159" s="647"/>
      <c r="AA159" s="647"/>
      <c r="AB159" s="647"/>
      <c r="AC159" s="647"/>
    </row>
    <row r="160" spans="1:29" ht="36" customHeight="1">
      <c r="A160" s="653"/>
      <c r="B160" s="680"/>
      <c r="C160" s="681"/>
      <c r="D160" s="647"/>
      <c r="E160" s="647"/>
      <c r="F160" s="647"/>
      <c r="G160" s="647"/>
      <c r="H160" s="647"/>
      <c r="I160" s="647"/>
      <c r="J160" s="647"/>
      <c r="K160" s="647"/>
      <c r="L160" s="647"/>
      <c r="M160" s="647"/>
      <c r="N160" s="647"/>
      <c r="O160" s="647"/>
      <c r="P160" s="647"/>
      <c r="Q160" s="647"/>
      <c r="R160" s="647"/>
      <c r="S160" s="647"/>
      <c r="T160" s="647"/>
      <c r="U160" s="647"/>
      <c r="V160" s="647"/>
      <c r="W160" s="647"/>
      <c r="X160" s="647"/>
      <c r="Y160" s="647"/>
      <c r="Z160" s="647"/>
      <c r="AA160" s="647"/>
      <c r="AB160" s="647"/>
      <c r="AC160" s="647"/>
    </row>
    <row r="161" spans="1:29" ht="36" customHeight="1">
      <c r="A161" s="653"/>
      <c r="B161" s="680"/>
      <c r="C161" s="681"/>
      <c r="D161" s="647"/>
      <c r="E161" s="647"/>
      <c r="F161" s="647"/>
      <c r="G161" s="647"/>
      <c r="H161" s="647"/>
      <c r="I161" s="647"/>
      <c r="J161" s="647"/>
      <c r="K161" s="647"/>
      <c r="L161" s="647"/>
      <c r="M161" s="647"/>
      <c r="N161" s="647"/>
      <c r="O161" s="647"/>
      <c r="P161" s="647"/>
      <c r="Q161" s="647"/>
      <c r="R161" s="647"/>
      <c r="S161" s="647"/>
      <c r="T161" s="647"/>
      <c r="U161" s="647"/>
      <c r="V161" s="647"/>
      <c r="W161" s="647"/>
      <c r="X161" s="647"/>
      <c r="Y161" s="647"/>
      <c r="Z161" s="647"/>
      <c r="AA161" s="647"/>
      <c r="AB161" s="647"/>
      <c r="AC161" s="647"/>
    </row>
    <row r="162" spans="1:29" ht="36" customHeight="1">
      <c r="A162" s="653"/>
      <c r="B162" s="654"/>
      <c r="C162" s="681"/>
      <c r="D162" s="647"/>
      <c r="E162" s="647"/>
      <c r="F162" s="647"/>
      <c r="G162" s="647"/>
      <c r="H162" s="647"/>
      <c r="I162" s="647"/>
      <c r="J162" s="647"/>
      <c r="K162" s="647"/>
      <c r="L162" s="647"/>
      <c r="M162" s="647"/>
      <c r="N162" s="647"/>
      <c r="O162" s="647"/>
      <c r="P162" s="647"/>
      <c r="Q162" s="647"/>
      <c r="R162" s="647"/>
      <c r="S162" s="647"/>
      <c r="T162" s="647"/>
      <c r="U162" s="647"/>
      <c r="V162" s="647"/>
      <c r="W162" s="647"/>
      <c r="X162" s="647"/>
      <c r="Y162" s="647"/>
      <c r="Z162" s="647"/>
      <c r="AA162" s="647"/>
      <c r="AB162" s="647"/>
      <c r="AC162" s="647"/>
    </row>
    <row r="163" spans="1:29" ht="36" customHeight="1">
      <c r="A163" s="653"/>
      <c r="B163" s="654"/>
      <c r="C163" s="681"/>
      <c r="D163" s="647"/>
      <c r="E163" s="647"/>
      <c r="F163" s="647"/>
      <c r="G163" s="647"/>
      <c r="H163" s="647"/>
      <c r="I163" s="647"/>
      <c r="J163" s="647"/>
      <c r="K163" s="647"/>
      <c r="L163" s="647"/>
      <c r="M163" s="647"/>
      <c r="N163" s="647"/>
      <c r="O163" s="647"/>
      <c r="P163" s="647"/>
      <c r="Q163" s="647"/>
      <c r="R163" s="647"/>
      <c r="S163" s="647"/>
      <c r="T163" s="647"/>
      <c r="U163" s="647"/>
      <c r="V163" s="647"/>
      <c r="W163" s="647"/>
      <c r="X163" s="647"/>
      <c r="Y163" s="647"/>
      <c r="Z163" s="647"/>
      <c r="AA163" s="647"/>
      <c r="AB163" s="647"/>
      <c r="AC163" s="647"/>
    </row>
    <row r="164" spans="1:29" ht="36" customHeight="1">
      <c r="A164" s="653"/>
      <c r="B164" s="654"/>
      <c r="C164" s="681"/>
      <c r="D164" s="647"/>
      <c r="E164" s="647"/>
      <c r="F164" s="647"/>
      <c r="G164" s="647"/>
      <c r="H164" s="647"/>
      <c r="I164" s="647"/>
      <c r="J164" s="647"/>
      <c r="K164" s="647"/>
      <c r="L164" s="647"/>
      <c r="M164" s="647"/>
      <c r="N164" s="647"/>
      <c r="O164" s="647"/>
      <c r="P164" s="647"/>
      <c r="Q164" s="647"/>
      <c r="R164" s="647"/>
      <c r="S164" s="647"/>
      <c r="T164" s="647"/>
      <c r="U164" s="647"/>
      <c r="V164" s="647"/>
      <c r="W164" s="647"/>
      <c r="X164" s="647"/>
      <c r="Y164" s="647"/>
      <c r="Z164" s="647"/>
      <c r="AA164" s="647"/>
      <c r="AB164" s="647"/>
      <c r="AC164" s="647"/>
    </row>
    <row r="165" spans="1:29" ht="36" customHeight="1">
      <c r="A165" s="653"/>
      <c r="B165" s="654"/>
      <c r="C165" s="681"/>
      <c r="D165" s="647"/>
      <c r="E165" s="647"/>
      <c r="F165" s="647"/>
      <c r="G165" s="647"/>
      <c r="H165" s="647"/>
      <c r="I165" s="647"/>
      <c r="J165" s="647"/>
      <c r="K165" s="647"/>
      <c r="L165" s="647"/>
      <c r="M165" s="647"/>
      <c r="N165" s="647"/>
      <c r="O165" s="647"/>
      <c r="P165" s="647"/>
      <c r="Q165" s="647"/>
      <c r="R165" s="647"/>
      <c r="S165" s="647"/>
      <c r="T165" s="647"/>
      <c r="U165" s="647"/>
      <c r="V165" s="647"/>
      <c r="W165" s="647"/>
      <c r="X165" s="647"/>
      <c r="Y165" s="647"/>
      <c r="Z165" s="647"/>
      <c r="AA165" s="647"/>
      <c r="AB165" s="647"/>
      <c r="AC165" s="647"/>
    </row>
    <row r="166" spans="1:29" ht="36" customHeight="1">
      <c r="A166" s="653"/>
      <c r="B166" s="654"/>
      <c r="C166" s="655"/>
      <c r="D166" s="647"/>
      <c r="E166" s="647"/>
      <c r="F166" s="647"/>
      <c r="G166" s="647"/>
      <c r="H166" s="647"/>
      <c r="I166" s="647"/>
      <c r="J166" s="647"/>
      <c r="K166" s="647"/>
      <c r="L166" s="647"/>
      <c r="M166" s="647"/>
      <c r="N166" s="647"/>
      <c r="O166" s="647"/>
      <c r="P166" s="647"/>
      <c r="Q166" s="647"/>
      <c r="R166" s="647"/>
      <c r="S166" s="647"/>
      <c r="T166" s="647"/>
      <c r="U166" s="647"/>
      <c r="V166" s="647"/>
      <c r="W166" s="647"/>
      <c r="X166" s="647"/>
      <c r="Y166" s="647"/>
      <c r="Z166" s="647"/>
      <c r="AA166" s="647"/>
      <c r="AB166" s="647"/>
      <c r="AC166" s="647"/>
    </row>
    <row r="167" spans="1:29" ht="36" customHeight="1">
      <c r="A167" s="653"/>
      <c r="B167" s="654"/>
      <c r="C167" s="655"/>
      <c r="D167" s="647"/>
      <c r="E167" s="647"/>
      <c r="F167" s="647"/>
      <c r="G167" s="647"/>
      <c r="H167" s="647"/>
      <c r="I167" s="647"/>
      <c r="J167" s="647"/>
      <c r="K167" s="647"/>
      <c r="L167" s="647"/>
      <c r="M167" s="647"/>
      <c r="N167" s="647"/>
      <c r="O167" s="647"/>
      <c r="P167" s="647"/>
      <c r="Q167" s="647"/>
      <c r="R167" s="647"/>
      <c r="S167" s="647"/>
      <c r="T167" s="647"/>
      <c r="U167" s="647"/>
      <c r="V167" s="647"/>
      <c r="W167" s="647"/>
      <c r="X167" s="647"/>
      <c r="Y167" s="647"/>
      <c r="Z167" s="647"/>
      <c r="AA167" s="647"/>
      <c r="AB167" s="647"/>
      <c r="AC167" s="647"/>
    </row>
    <row r="168" spans="1:29" ht="36" customHeight="1">
      <c r="A168" s="653"/>
      <c r="B168" s="654"/>
      <c r="C168" s="655"/>
      <c r="D168" s="647"/>
      <c r="E168" s="647"/>
      <c r="F168" s="647"/>
      <c r="G168" s="647"/>
      <c r="H168" s="647"/>
      <c r="I168" s="647"/>
      <c r="J168" s="647"/>
      <c r="K168" s="647"/>
      <c r="L168" s="647"/>
      <c r="M168" s="647"/>
      <c r="N168" s="647"/>
      <c r="O168" s="647"/>
      <c r="P168" s="647"/>
      <c r="Q168" s="647"/>
      <c r="R168" s="647"/>
      <c r="S168" s="647"/>
      <c r="T168" s="647"/>
      <c r="U168" s="647"/>
      <c r="V168" s="647"/>
      <c r="W168" s="647"/>
      <c r="X168" s="647"/>
      <c r="Y168" s="647"/>
      <c r="Z168" s="647"/>
      <c r="AA168" s="647"/>
      <c r="AB168" s="647"/>
      <c r="AC168" s="647"/>
    </row>
    <row r="169" spans="1:29" ht="36" customHeight="1">
      <c r="A169" s="653"/>
      <c r="B169" s="654"/>
      <c r="C169" s="656"/>
      <c r="D169" s="647"/>
      <c r="E169" s="647"/>
      <c r="F169" s="647"/>
      <c r="G169" s="647"/>
      <c r="H169" s="647"/>
      <c r="I169" s="647"/>
      <c r="J169" s="647"/>
      <c r="K169" s="647"/>
      <c r="L169" s="647"/>
      <c r="M169" s="647"/>
      <c r="N169" s="647"/>
      <c r="O169" s="647"/>
      <c r="P169" s="647"/>
      <c r="Q169" s="647"/>
      <c r="R169" s="647"/>
      <c r="S169" s="647"/>
      <c r="T169" s="647"/>
      <c r="U169" s="647"/>
      <c r="V169" s="647"/>
      <c r="W169" s="647"/>
      <c r="X169" s="647"/>
      <c r="Y169" s="647"/>
      <c r="Z169" s="647"/>
      <c r="AA169" s="647"/>
      <c r="AB169" s="647"/>
      <c r="AC169" s="647"/>
    </row>
    <row r="170" spans="1:29" ht="36" customHeight="1">
      <c r="A170" s="653"/>
      <c r="B170" s="657"/>
      <c r="C170" s="655"/>
      <c r="D170" s="647"/>
      <c r="E170" s="647"/>
      <c r="F170" s="647"/>
      <c r="G170" s="647"/>
      <c r="H170" s="647"/>
      <c r="I170" s="647"/>
      <c r="J170" s="647"/>
      <c r="K170" s="647"/>
      <c r="L170" s="647"/>
      <c r="M170" s="647"/>
      <c r="N170" s="647"/>
      <c r="O170" s="647"/>
      <c r="P170" s="647"/>
      <c r="Q170" s="647"/>
      <c r="R170" s="647"/>
      <c r="S170" s="647"/>
      <c r="T170" s="647"/>
      <c r="U170" s="647"/>
      <c r="V170" s="647"/>
      <c r="W170" s="647"/>
      <c r="X170" s="647"/>
      <c r="Y170" s="647"/>
      <c r="Z170" s="647"/>
      <c r="AA170" s="647"/>
      <c r="AB170" s="647"/>
      <c r="AC170" s="647"/>
    </row>
    <row r="171" spans="1:29" ht="36" customHeight="1">
      <c r="A171" s="658"/>
      <c r="B171" s="680"/>
      <c r="C171" s="681"/>
      <c r="D171" s="647"/>
      <c r="E171" s="647"/>
      <c r="F171" s="647"/>
      <c r="G171" s="647"/>
      <c r="H171" s="647"/>
      <c r="I171" s="647"/>
      <c r="J171" s="647"/>
      <c r="K171" s="647"/>
      <c r="L171" s="647"/>
      <c r="M171" s="647"/>
      <c r="N171" s="647"/>
      <c r="O171" s="647"/>
      <c r="P171" s="647"/>
      <c r="Q171" s="647"/>
      <c r="R171" s="647"/>
      <c r="S171" s="647"/>
      <c r="T171" s="647"/>
      <c r="U171" s="647"/>
      <c r="V171" s="647"/>
      <c r="W171" s="647"/>
      <c r="X171" s="647"/>
      <c r="Y171" s="647"/>
      <c r="Z171" s="647"/>
      <c r="AA171" s="647"/>
      <c r="AB171" s="647"/>
      <c r="AC171" s="647"/>
    </row>
    <row r="172" spans="1:29" ht="36" customHeight="1">
      <c r="A172" s="658"/>
      <c r="B172" s="680"/>
      <c r="C172" s="681"/>
      <c r="D172" s="647"/>
      <c r="E172" s="647"/>
      <c r="F172" s="647"/>
      <c r="G172" s="647"/>
      <c r="H172" s="647"/>
      <c r="I172" s="647"/>
      <c r="J172" s="647"/>
      <c r="K172" s="647"/>
      <c r="L172" s="647"/>
      <c r="M172" s="647"/>
      <c r="N172" s="647"/>
      <c r="O172" s="647"/>
      <c r="P172" s="647"/>
      <c r="Q172" s="647"/>
      <c r="R172" s="647"/>
      <c r="S172" s="647"/>
      <c r="T172" s="647"/>
      <c r="U172" s="647"/>
      <c r="V172" s="647"/>
      <c r="W172" s="647"/>
      <c r="X172" s="647"/>
      <c r="Y172" s="647"/>
      <c r="Z172" s="647"/>
      <c r="AA172" s="647"/>
      <c r="AB172" s="647"/>
      <c r="AC172" s="647"/>
    </row>
    <row r="173" spans="1:29" ht="36" customHeight="1">
      <c r="A173" s="658"/>
      <c r="B173" s="680"/>
      <c r="C173" s="681"/>
      <c r="D173" s="647"/>
      <c r="E173" s="647"/>
      <c r="F173" s="647"/>
      <c r="G173" s="647"/>
      <c r="H173" s="647"/>
      <c r="I173" s="647"/>
      <c r="J173" s="647"/>
      <c r="K173" s="647"/>
      <c r="L173" s="647"/>
      <c r="M173" s="647"/>
      <c r="N173" s="647"/>
      <c r="O173" s="647"/>
      <c r="P173" s="647"/>
      <c r="Q173" s="647"/>
      <c r="R173" s="647"/>
      <c r="S173" s="647"/>
      <c r="T173" s="647"/>
      <c r="U173" s="647"/>
      <c r="V173" s="647"/>
      <c r="W173" s="647"/>
      <c r="X173" s="647"/>
      <c r="Y173" s="647"/>
      <c r="Z173" s="647"/>
      <c r="AA173" s="647"/>
      <c r="AB173" s="647"/>
      <c r="AC173" s="647"/>
    </row>
    <row r="174" spans="1:29" ht="36" customHeight="1">
      <c r="A174" s="658"/>
      <c r="B174" s="680"/>
      <c r="C174" s="681"/>
      <c r="D174" s="647"/>
      <c r="E174" s="647"/>
      <c r="F174" s="647"/>
      <c r="G174" s="647"/>
      <c r="H174" s="647"/>
      <c r="I174" s="647"/>
      <c r="J174" s="647"/>
      <c r="K174" s="647"/>
      <c r="L174" s="647"/>
      <c r="M174" s="647"/>
      <c r="N174" s="647"/>
      <c r="O174" s="647"/>
      <c r="P174" s="647"/>
      <c r="Q174" s="647"/>
      <c r="R174" s="647"/>
      <c r="S174" s="647"/>
      <c r="T174" s="647"/>
      <c r="U174" s="647"/>
      <c r="V174" s="647"/>
      <c r="W174" s="647"/>
      <c r="X174" s="647"/>
      <c r="Y174" s="647"/>
      <c r="Z174" s="647"/>
      <c r="AA174" s="647"/>
      <c r="AB174" s="647"/>
      <c r="AC174" s="647"/>
    </row>
    <row r="175" spans="1:29" ht="36" customHeight="1">
      <c r="A175" s="658"/>
      <c r="B175" s="680"/>
      <c r="C175" s="681"/>
      <c r="D175" s="647"/>
      <c r="E175" s="647"/>
      <c r="F175" s="647"/>
      <c r="G175" s="647"/>
      <c r="H175" s="647"/>
      <c r="I175" s="647"/>
      <c r="J175" s="647"/>
      <c r="K175" s="647"/>
      <c r="L175" s="647"/>
      <c r="M175" s="647"/>
      <c r="N175" s="647"/>
      <c r="O175" s="647"/>
      <c r="P175" s="647"/>
      <c r="Q175" s="647"/>
      <c r="R175" s="647"/>
      <c r="S175" s="647"/>
      <c r="T175" s="647"/>
      <c r="U175" s="647"/>
      <c r="V175" s="647"/>
      <c r="W175" s="647"/>
      <c r="X175" s="647"/>
      <c r="Y175" s="647"/>
      <c r="Z175" s="647"/>
      <c r="AA175" s="647"/>
      <c r="AB175" s="647"/>
      <c r="AC175" s="647"/>
    </row>
    <row r="176" spans="1:29" ht="36" customHeight="1">
      <c r="A176" s="658"/>
      <c r="B176" s="680"/>
      <c r="C176" s="681"/>
      <c r="D176" s="647"/>
      <c r="E176" s="647"/>
      <c r="F176" s="647"/>
      <c r="G176" s="647"/>
      <c r="H176" s="647"/>
      <c r="I176" s="647"/>
      <c r="J176" s="647"/>
      <c r="K176" s="647"/>
      <c r="L176" s="647"/>
      <c r="M176" s="647"/>
      <c r="N176" s="647"/>
      <c r="O176" s="647"/>
      <c r="P176" s="647"/>
      <c r="Q176" s="647"/>
      <c r="R176" s="647"/>
      <c r="S176" s="647"/>
      <c r="T176" s="647"/>
      <c r="U176" s="647"/>
      <c r="V176" s="647"/>
      <c r="W176" s="647"/>
      <c r="X176" s="647"/>
      <c r="Y176" s="647"/>
      <c r="Z176" s="647"/>
      <c r="AA176" s="647"/>
      <c r="AB176" s="647"/>
      <c r="AC176" s="647"/>
    </row>
    <row r="177" spans="1:29" ht="18" customHeight="1">
      <c r="A177" s="659"/>
      <c r="B177" s="654"/>
      <c r="C177" s="655"/>
      <c r="D177" s="647"/>
      <c r="E177" s="647"/>
      <c r="F177" s="647"/>
      <c r="G177" s="647"/>
      <c r="H177" s="647"/>
      <c r="I177" s="647"/>
      <c r="J177" s="647"/>
      <c r="K177" s="647"/>
      <c r="L177" s="647"/>
      <c r="M177" s="647"/>
      <c r="N177" s="647"/>
      <c r="O177" s="647"/>
      <c r="P177" s="647"/>
      <c r="Q177" s="647"/>
      <c r="R177" s="647"/>
      <c r="S177" s="647"/>
      <c r="T177" s="647"/>
      <c r="U177" s="647"/>
      <c r="V177" s="647"/>
      <c r="W177" s="647"/>
      <c r="X177" s="647"/>
      <c r="Y177" s="647"/>
      <c r="Z177" s="647"/>
      <c r="AA177" s="647"/>
      <c r="AB177" s="647"/>
      <c r="AC177" s="647"/>
    </row>
    <row r="178" spans="1:29" ht="36" customHeight="1">
      <c r="A178" s="659"/>
      <c r="B178" s="654"/>
      <c r="C178" s="660"/>
      <c r="D178" s="647"/>
      <c r="E178" s="647"/>
      <c r="F178" s="647"/>
      <c r="G178" s="647"/>
      <c r="H178" s="647"/>
      <c r="I178" s="647"/>
      <c r="J178" s="647"/>
      <c r="K178" s="647"/>
      <c r="L178" s="647"/>
      <c r="M178" s="647"/>
      <c r="N178" s="647"/>
      <c r="O178" s="647"/>
      <c r="P178" s="647"/>
      <c r="Q178" s="647"/>
      <c r="R178" s="647"/>
      <c r="S178" s="647"/>
      <c r="T178" s="647"/>
      <c r="U178" s="647"/>
      <c r="V178" s="647"/>
      <c r="W178" s="647"/>
      <c r="X178" s="647"/>
      <c r="Y178" s="647"/>
      <c r="Z178" s="647"/>
      <c r="AA178" s="647"/>
      <c r="AB178" s="647"/>
      <c r="AC178" s="647"/>
    </row>
    <row r="179" spans="1:29" ht="18" customHeight="1">
      <c r="A179" s="659"/>
      <c r="B179" s="654"/>
      <c r="C179" s="655"/>
      <c r="D179" s="647"/>
      <c r="E179" s="647"/>
      <c r="F179" s="647"/>
      <c r="G179" s="647"/>
      <c r="H179" s="647"/>
      <c r="I179" s="647"/>
      <c r="J179" s="647"/>
      <c r="K179" s="647"/>
      <c r="L179" s="647"/>
      <c r="M179" s="647"/>
      <c r="N179" s="647"/>
      <c r="O179" s="647"/>
      <c r="P179" s="647"/>
      <c r="Q179" s="647"/>
      <c r="R179" s="647"/>
      <c r="S179" s="647"/>
      <c r="T179" s="647"/>
      <c r="U179" s="647"/>
      <c r="V179" s="647"/>
      <c r="W179" s="647"/>
      <c r="X179" s="647"/>
      <c r="Y179" s="647"/>
      <c r="Z179" s="647"/>
      <c r="AA179" s="647"/>
      <c r="AB179" s="647"/>
      <c r="AC179" s="647"/>
    </row>
    <row r="180" spans="1:29" ht="36" customHeight="1">
      <c r="A180" s="652"/>
      <c r="B180" s="680"/>
      <c r="C180" s="681"/>
      <c r="D180" s="647"/>
      <c r="E180" s="647"/>
      <c r="F180" s="647"/>
      <c r="G180" s="647"/>
      <c r="H180" s="647"/>
      <c r="I180" s="647"/>
      <c r="J180" s="647"/>
      <c r="K180" s="647"/>
      <c r="L180" s="647"/>
      <c r="M180" s="647"/>
      <c r="N180" s="647"/>
      <c r="O180" s="647"/>
      <c r="P180" s="647"/>
      <c r="Q180" s="647"/>
      <c r="R180" s="647"/>
      <c r="S180" s="647"/>
      <c r="T180" s="647"/>
      <c r="U180" s="647"/>
      <c r="V180" s="647"/>
      <c r="W180" s="647"/>
      <c r="X180" s="647"/>
      <c r="Y180" s="647"/>
      <c r="Z180" s="647"/>
      <c r="AA180" s="647"/>
      <c r="AB180" s="647"/>
      <c r="AC180" s="647"/>
    </row>
    <row r="181" spans="1:29" ht="36" customHeight="1">
      <c r="A181" s="659"/>
      <c r="B181" s="654"/>
      <c r="C181" s="655"/>
      <c r="D181" s="647"/>
      <c r="E181" s="647"/>
      <c r="F181" s="647"/>
      <c r="G181" s="647"/>
      <c r="H181" s="647"/>
      <c r="I181" s="647"/>
      <c r="J181" s="647"/>
      <c r="K181" s="647"/>
      <c r="L181" s="647"/>
      <c r="M181" s="647"/>
      <c r="N181" s="647"/>
      <c r="O181" s="647"/>
      <c r="P181" s="647"/>
      <c r="Q181" s="647"/>
      <c r="R181" s="647"/>
      <c r="S181" s="647"/>
      <c r="T181" s="647"/>
      <c r="U181" s="647"/>
      <c r="V181" s="647"/>
      <c r="W181" s="647"/>
      <c r="X181" s="647"/>
      <c r="Y181" s="647"/>
      <c r="Z181" s="647"/>
      <c r="AA181" s="647"/>
      <c r="AB181" s="647"/>
      <c r="AC181" s="647"/>
    </row>
    <row r="182" spans="1:29" ht="36" customHeight="1">
      <c r="A182" s="659"/>
      <c r="B182" s="680"/>
      <c r="C182" s="681"/>
      <c r="D182" s="647"/>
      <c r="E182" s="647"/>
      <c r="F182" s="647"/>
      <c r="G182" s="647"/>
      <c r="H182" s="647"/>
      <c r="I182" s="647"/>
      <c r="J182" s="647"/>
      <c r="K182" s="647"/>
      <c r="L182" s="647"/>
      <c r="M182" s="647"/>
      <c r="N182" s="647"/>
      <c r="O182" s="647"/>
      <c r="P182" s="647"/>
      <c r="Q182" s="647"/>
      <c r="R182" s="647"/>
      <c r="S182" s="647"/>
      <c r="T182" s="647"/>
      <c r="U182" s="647"/>
      <c r="V182" s="647"/>
      <c r="W182" s="647"/>
      <c r="X182" s="647"/>
      <c r="Y182" s="647"/>
      <c r="Z182" s="647"/>
      <c r="AA182" s="647"/>
      <c r="AB182" s="647"/>
      <c r="AC182" s="647"/>
    </row>
    <row r="183" spans="1:29" ht="36" customHeight="1">
      <c r="A183" s="659"/>
      <c r="B183" s="654"/>
      <c r="C183" s="655"/>
      <c r="D183" s="647"/>
      <c r="E183" s="647"/>
      <c r="F183" s="647"/>
      <c r="G183" s="647"/>
      <c r="H183" s="647"/>
      <c r="I183" s="647"/>
      <c r="J183" s="647"/>
      <c r="K183" s="647"/>
      <c r="L183" s="647"/>
      <c r="M183" s="647"/>
      <c r="N183" s="647"/>
      <c r="O183" s="647"/>
      <c r="P183" s="647"/>
      <c r="Q183" s="647"/>
      <c r="R183" s="647"/>
      <c r="S183" s="647"/>
      <c r="T183" s="647"/>
      <c r="U183" s="647"/>
      <c r="V183" s="647"/>
      <c r="W183" s="647"/>
      <c r="X183" s="647"/>
      <c r="Y183" s="647"/>
      <c r="Z183" s="647"/>
      <c r="AA183" s="647"/>
      <c r="AB183" s="647"/>
      <c r="AC183" s="647"/>
    </row>
    <row r="184" spans="1:29" ht="36" customHeight="1">
      <c r="A184" s="659"/>
      <c r="B184" s="680"/>
      <c r="C184" s="681"/>
      <c r="D184" s="647"/>
      <c r="E184" s="647"/>
      <c r="F184" s="647"/>
      <c r="G184" s="647"/>
      <c r="H184" s="647"/>
      <c r="I184" s="647"/>
      <c r="J184" s="647"/>
      <c r="K184" s="647"/>
      <c r="L184" s="647"/>
      <c r="M184" s="647"/>
      <c r="N184" s="647"/>
      <c r="O184" s="647"/>
      <c r="P184" s="647"/>
      <c r="Q184" s="647"/>
      <c r="R184" s="647"/>
      <c r="S184" s="647"/>
      <c r="T184" s="647"/>
      <c r="U184" s="647"/>
      <c r="V184" s="647"/>
      <c r="W184" s="647"/>
      <c r="X184" s="647"/>
      <c r="Y184" s="647"/>
      <c r="Z184" s="647"/>
      <c r="AA184" s="647"/>
      <c r="AB184" s="647"/>
      <c r="AC184" s="647"/>
    </row>
    <row r="185" spans="1:29" ht="36" customHeight="1">
      <c r="A185" s="659"/>
      <c r="B185" s="680"/>
      <c r="C185" s="681"/>
      <c r="D185" s="647"/>
      <c r="E185" s="647"/>
      <c r="F185" s="647"/>
      <c r="G185" s="647"/>
      <c r="H185" s="647"/>
      <c r="I185" s="647"/>
      <c r="J185" s="647"/>
      <c r="K185" s="647"/>
      <c r="L185" s="647"/>
      <c r="M185" s="647"/>
      <c r="N185" s="647"/>
      <c r="O185" s="647"/>
      <c r="P185" s="647"/>
      <c r="Q185" s="647"/>
      <c r="R185" s="647"/>
      <c r="S185" s="647"/>
      <c r="T185" s="647"/>
      <c r="U185" s="647"/>
      <c r="V185" s="647"/>
      <c r="W185" s="647"/>
      <c r="X185" s="647"/>
      <c r="Y185" s="647"/>
      <c r="Z185" s="647"/>
      <c r="AA185" s="647"/>
      <c r="AB185" s="647"/>
      <c r="AC185" s="647"/>
    </row>
    <row r="186" spans="1:29" ht="36" customHeight="1">
      <c r="A186" s="659"/>
      <c r="B186" s="680"/>
      <c r="C186" s="681"/>
      <c r="D186" s="647"/>
      <c r="E186" s="647"/>
      <c r="F186" s="647"/>
      <c r="G186" s="647"/>
      <c r="H186" s="647"/>
      <c r="I186" s="647"/>
      <c r="J186" s="647"/>
      <c r="K186" s="647"/>
      <c r="L186" s="647"/>
      <c r="M186" s="647"/>
      <c r="N186" s="647"/>
      <c r="O186" s="647"/>
      <c r="P186" s="647"/>
      <c r="Q186" s="647"/>
      <c r="R186" s="647"/>
      <c r="S186" s="647"/>
      <c r="T186" s="647"/>
      <c r="U186" s="647"/>
      <c r="V186" s="647"/>
      <c r="W186" s="647"/>
      <c r="X186" s="647"/>
      <c r="Y186" s="647"/>
      <c r="Z186" s="647"/>
      <c r="AA186" s="647"/>
      <c r="AB186" s="647"/>
      <c r="AC186" s="647"/>
    </row>
    <row r="187" spans="1:29" ht="36" customHeight="1">
      <c r="A187" s="659"/>
      <c r="B187" s="680"/>
      <c r="C187" s="681"/>
      <c r="D187" s="647"/>
      <c r="E187" s="647"/>
      <c r="F187" s="647"/>
      <c r="G187" s="647"/>
      <c r="H187" s="647"/>
      <c r="I187" s="647"/>
      <c r="J187" s="647"/>
      <c r="K187" s="647"/>
      <c r="L187" s="647"/>
      <c r="M187" s="647"/>
      <c r="N187" s="647"/>
      <c r="O187" s="647"/>
      <c r="P187" s="647"/>
      <c r="Q187" s="647"/>
      <c r="R187" s="647"/>
      <c r="S187" s="647"/>
      <c r="T187" s="647"/>
      <c r="U187" s="647"/>
      <c r="V187" s="647"/>
      <c r="W187" s="647"/>
      <c r="X187" s="647"/>
      <c r="Y187" s="647"/>
      <c r="Z187" s="647"/>
      <c r="AA187" s="647"/>
      <c r="AB187" s="647"/>
      <c r="AC187" s="647"/>
    </row>
    <row r="188" spans="1:29" ht="36" customHeight="1">
      <c r="A188" s="659"/>
      <c r="B188" s="680"/>
      <c r="C188" s="681"/>
      <c r="D188" s="647"/>
      <c r="E188" s="647"/>
      <c r="F188" s="647"/>
      <c r="G188" s="647"/>
      <c r="H188" s="647"/>
      <c r="I188" s="647"/>
      <c r="J188" s="647"/>
      <c r="K188" s="647"/>
      <c r="L188" s="647"/>
      <c r="M188" s="647"/>
      <c r="N188" s="647"/>
      <c r="O188" s="647"/>
      <c r="P188" s="647"/>
      <c r="Q188" s="647"/>
      <c r="R188" s="647"/>
      <c r="S188" s="647"/>
      <c r="T188" s="647"/>
      <c r="U188" s="647"/>
      <c r="V188" s="647"/>
      <c r="W188" s="647"/>
      <c r="X188" s="647"/>
      <c r="Y188" s="647"/>
      <c r="Z188" s="647"/>
      <c r="AA188" s="647"/>
      <c r="AB188" s="647"/>
      <c r="AC188" s="647"/>
    </row>
    <row r="189" spans="1:29" ht="36" customHeight="1">
      <c r="A189" s="659"/>
      <c r="B189" s="680"/>
      <c r="C189" s="681"/>
      <c r="D189" s="647"/>
      <c r="E189" s="647"/>
      <c r="F189" s="647"/>
      <c r="G189" s="647"/>
      <c r="H189" s="647"/>
      <c r="I189" s="647"/>
      <c r="J189" s="647"/>
      <c r="K189" s="647"/>
      <c r="L189" s="647"/>
      <c r="M189" s="647"/>
      <c r="N189" s="647"/>
      <c r="O189" s="647"/>
      <c r="P189" s="647"/>
      <c r="Q189" s="647"/>
      <c r="R189" s="647"/>
      <c r="S189" s="647"/>
      <c r="T189" s="647"/>
      <c r="U189" s="647"/>
      <c r="V189" s="647"/>
      <c r="W189" s="647"/>
      <c r="X189" s="647"/>
      <c r="Y189" s="647"/>
      <c r="Z189" s="647"/>
      <c r="AA189" s="647"/>
      <c r="AB189" s="647"/>
      <c r="AC189" s="647"/>
    </row>
    <row r="190" spans="1:29" ht="36" customHeight="1">
      <c r="A190" s="659"/>
      <c r="B190" s="680"/>
      <c r="C190" s="681"/>
      <c r="D190" s="647"/>
      <c r="E190" s="647"/>
      <c r="F190" s="647"/>
      <c r="G190" s="647"/>
      <c r="H190" s="647"/>
      <c r="I190" s="647"/>
      <c r="J190" s="647"/>
      <c r="K190" s="647"/>
      <c r="L190" s="647"/>
      <c r="M190" s="647"/>
      <c r="N190" s="647"/>
      <c r="O190" s="647"/>
      <c r="P190" s="647"/>
      <c r="Q190" s="647"/>
      <c r="R190" s="647"/>
      <c r="S190" s="647"/>
      <c r="T190" s="647"/>
      <c r="U190" s="647"/>
      <c r="V190" s="647"/>
      <c r="W190" s="647"/>
      <c r="X190" s="647"/>
      <c r="Y190" s="647"/>
      <c r="Z190" s="647"/>
      <c r="AA190" s="647"/>
      <c r="AB190" s="647"/>
      <c r="AC190" s="647"/>
    </row>
    <row r="191" spans="1:29" ht="36" customHeight="1">
      <c r="A191" s="659"/>
      <c r="B191" s="680"/>
      <c r="C191" s="681"/>
      <c r="D191" s="647"/>
      <c r="E191" s="647"/>
      <c r="F191" s="647"/>
      <c r="G191" s="647"/>
      <c r="H191" s="647"/>
      <c r="I191" s="647"/>
      <c r="J191" s="647"/>
      <c r="K191" s="647"/>
      <c r="L191" s="647"/>
      <c r="M191" s="647"/>
      <c r="N191" s="647"/>
      <c r="O191" s="647"/>
      <c r="P191" s="647"/>
      <c r="Q191" s="647"/>
      <c r="R191" s="647"/>
      <c r="S191" s="647"/>
      <c r="T191" s="647"/>
      <c r="U191" s="647"/>
      <c r="V191" s="647"/>
      <c r="W191" s="647"/>
      <c r="X191" s="647"/>
      <c r="Y191" s="647"/>
      <c r="Z191" s="647"/>
      <c r="AA191" s="647"/>
      <c r="AB191" s="647"/>
      <c r="AC191" s="647"/>
    </row>
    <row r="192" spans="1:29" ht="36" customHeight="1">
      <c r="A192" s="659"/>
      <c r="B192" s="680"/>
      <c r="C192" s="681"/>
      <c r="D192" s="647"/>
      <c r="E192" s="647"/>
      <c r="F192" s="647"/>
      <c r="G192" s="647"/>
      <c r="H192" s="647"/>
      <c r="I192" s="647"/>
      <c r="J192" s="647"/>
      <c r="K192" s="647"/>
      <c r="L192" s="647"/>
      <c r="M192" s="647"/>
      <c r="N192" s="647"/>
      <c r="O192" s="647"/>
      <c r="P192" s="647"/>
      <c r="Q192" s="647"/>
      <c r="R192" s="647"/>
      <c r="S192" s="647"/>
      <c r="T192" s="647"/>
      <c r="U192" s="647"/>
      <c r="V192" s="647"/>
      <c r="W192" s="647"/>
      <c r="X192" s="647"/>
      <c r="Y192" s="647"/>
      <c r="Z192" s="647"/>
      <c r="AA192" s="647"/>
      <c r="AB192" s="647"/>
      <c r="AC192" s="647"/>
    </row>
    <row r="193" spans="1:29" ht="36" customHeight="1">
      <c r="A193" s="659"/>
      <c r="B193" s="680"/>
      <c r="C193" s="681"/>
      <c r="D193" s="647"/>
      <c r="E193" s="647"/>
      <c r="F193" s="647"/>
      <c r="G193" s="647"/>
      <c r="H193" s="647"/>
      <c r="I193" s="647"/>
      <c r="J193" s="647"/>
      <c r="K193" s="647"/>
      <c r="L193" s="647"/>
      <c r="M193" s="647"/>
      <c r="N193" s="647"/>
      <c r="O193" s="647"/>
      <c r="P193" s="647"/>
      <c r="Q193" s="647"/>
      <c r="R193" s="647"/>
      <c r="S193" s="647"/>
      <c r="T193" s="647"/>
      <c r="U193" s="647"/>
      <c r="V193" s="647"/>
      <c r="W193" s="647"/>
      <c r="X193" s="647"/>
      <c r="Y193" s="647"/>
      <c r="Z193" s="647"/>
      <c r="AA193" s="647"/>
      <c r="AB193" s="647"/>
      <c r="AC193" s="647"/>
    </row>
    <row r="194" spans="1:29" ht="36" customHeight="1">
      <c r="A194" s="659"/>
      <c r="B194" s="680"/>
      <c r="C194" s="681"/>
      <c r="D194" s="647"/>
      <c r="E194" s="647"/>
      <c r="F194" s="647"/>
      <c r="G194" s="647"/>
      <c r="H194" s="647"/>
      <c r="I194" s="647"/>
      <c r="J194" s="647"/>
      <c r="K194" s="647"/>
      <c r="L194" s="647"/>
      <c r="M194" s="647"/>
      <c r="N194" s="647"/>
      <c r="O194" s="647"/>
      <c r="P194" s="647"/>
      <c r="Q194" s="647"/>
      <c r="R194" s="647"/>
      <c r="S194" s="647"/>
      <c r="T194" s="647"/>
      <c r="U194" s="647"/>
      <c r="V194" s="647"/>
      <c r="W194" s="647"/>
      <c r="X194" s="647"/>
      <c r="Y194" s="647"/>
      <c r="Z194" s="647"/>
      <c r="AA194" s="647"/>
      <c r="AB194" s="647"/>
      <c r="AC194" s="647"/>
    </row>
    <row r="195" spans="1:29" ht="36" customHeight="1">
      <c r="A195" s="659"/>
      <c r="B195" s="680"/>
      <c r="C195" s="681"/>
      <c r="D195" s="647"/>
      <c r="E195" s="647"/>
      <c r="F195" s="647"/>
      <c r="G195" s="647"/>
      <c r="H195" s="647"/>
      <c r="I195" s="647"/>
      <c r="J195" s="647"/>
      <c r="K195" s="647"/>
      <c r="L195" s="647"/>
      <c r="M195" s="647"/>
      <c r="N195" s="647"/>
      <c r="O195" s="647"/>
      <c r="P195" s="647"/>
      <c r="Q195" s="647"/>
      <c r="R195" s="647"/>
      <c r="S195" s="647"/>
      <c r="T195" s="647"/>
      <c r="U195" s="647"/>
      <c r="V195" s="647"/>
      <c r="W195" s="647"/>
      <c r="X195" s="647"/>
      <c r="Y195" s="647"/>
      <c r="Z195" s="647"/>
      <c r="AA195" s="647"/>
      <c r="AB195" s="647"/>
      <c r="AC195" s="647"/>
    </row>
    <row r="196" spans="1:29" ht="36" customHeight="1">
      <c r="A196" s="659"/>
      <c r="B196" s="680"/>
      <c r="C196" s="681"/>
      <c r="D196" s="647"/>
      <c r="E196" s="647"/>
      <c r="F196" s="647"/>
      <c r="G196" s="647"/>
      <c r="H196" s="647"/>
      <c r="I196" s="647"/>
      <c r="J196" s="647"/>
      <c r="K196" s="647"/>
      <c r="L196" s="647"/>
      <c r="M196" s="647"/>
      <c r="N196" s="647"/>
      <c r="O196" s="647"/>
      <c r="P196" s="647"/>
      <c r="Q196" s="647"/>
      <c r="R196" s="647"/>
      <c r="S196" s="647"/>
      <c r="T196" s="647"/>
      <c r="U196" s="647"/>
      <c r="V196" s="647"/>
      <c r="W196" s="647"/>
      <c r="X196" s="647"/>
      <c r="Y196" s="647"/>
      <c r="Z196" s="647"/>
      <c r="AA196" s="647"/>
      <c r="AB196" s="647"/>
      <c r="AC196" s="647"/>
    </row>
    <row r="197" spans="1:29" ht="36" customHeight="1">
      <c r="A197" s="659"/>
      <c r="B197" s="680"/>
      <c r="C197" s="681"/>
      <c r="D197" s="647"/>
      <c r="E197" s="647"/>
      <c r="F197" s="647"/>
      <c r="G197" s="647"/>
      <c r="H197" s="647"/>
      <c r="I197" s="647"/>
      <c r="J197" s="647"/>
      <c r="K197" s="647"/>
      <c r="L197" s="647"/>
      <c r="M197" s="647"/>
      <c r="N197" s="647"/>
      <c r="O197" s="647"/>
      <c r="P197" s="647"/>
      <c r="Q197" s="647"/>
      <c r="R197" s="647"/>
      <c r="S197" s="647"/>
      <c r="T197" s="647"/>
      <c r="U197" s="647"/>
      <c r="V197" s="647"/>
      <c r="W197" s="647"/>
      <c r="X197" s="647"/>
      <c r="Y197" s="647"/>
      <c r="Z197" s="647"/>
      <c r="AA197" s="647"/>
      <c r="AB197" s="647"/>
      <c r="AC197" s="647"/>
    </row>
    <row r="198" spans="1:29" ht="36" customHeight="1">
      <c r="A198" s="659"/>
      <c r="B198" s="680"/>
      <c r="C198" s="681"/>
      <c r="D198" s="647"/>
      <c r="E198" s="647"/>
      <c r="F198" s="647"/>
      <c r="G198" s="647"/>
      <c r="H198" s="647"/>
      <c r="I198" s="647"/>
      <c r="J198" s="647"/>
      <c r="K198" s="647"/>
      <c r="L198" s="647"/>
      <c r="M198" s="647"/>
      <c r="N198" s="647"/>
      <c r="O198" s="647"/>
      <c r="P198" s="647"/>
      <c r="Q198" s="647"/>
      <c r="R198" s="647"/>
      <c r="S198" s="647"/>
      <c r="T198" s="647"/>
      <c r="U198" s="647"/>
      <c r="V198" s="647"/>
      <c r="W198" s="647"/>
      <c r="X198" s="647"/>
      <c r="Y198" s="647"/>
      <c r="Z198" s="647"/>
      <c r="AA198" s="647"/>
      <c r="AB198" s="647"/>
      <c r="AC198" s="647"/>
    </row>
    <row r="199" spans="1:29" ht="36" customHeight="1">
      <c r="A199" s="659"/>
      <c r="B199" s="680"/>
      <c r="C199" s="681"/>
      <c r="D199" s="647"/>
      <c r="E199" s="647"/>
      <c r="F199" s="647"/>
      <c r="G199" s="647"/>
      <c r="H199" s="647"/>
      <c r="I199" s="647"/>
      <c r="J199" s="647"/>
      <c r="K199" s="647"/>
      <c r="L199" s="647"/>
      <c r="M199" s="647"/>
      <c r="N199" s="647"/>
      <c r="O199" s="647"/>
      <c r="P199" s="647"/>
      <c r="Q199" s="647"/>
      <c r="R199" s="647"/>
      <c r="S199" s="647"/>
      <c r="T199" s="647"/>
      <c r="U199" s="647"/>
      <c r="V199" s="647"/>
      <c r="W199" s="647"/>
      <c r="X199" s="647"/>
      <c r="Y199" s="647"/>
      <c r="Z199" s="647"/>
      <c r="AA199" s="647"/>
      <c r="AB199" s="647"/>
      <c r="AC199" s="647"/>
    </row>
    <row r="200" spans="1:29" ht="36" customHeight="1">
      <c r="A200" s="659"/>
      <c r="B200" s="680"/>
      <c r="C200" s="681"/>
      <c r="D200" s="647"/>
      <c r="E200" s="647"/>
      <c r="F200" s="647"/>
      <c r="G200" s="647"/>
      <c r="H200" s="647"/>
      <c r="I200" s="647"/>
      <c r="J200" s="647"/>
      <c r="K200" s="647"/>
      <c r="L200" s="647"/>
      <c r="M200" s="647"/>
      <c r="N200" s="647"/>
      <c r="O200" s="647"/>
      <c r="P200" s="647"/>
      <c r="Q200" s="647"/>
      <c r="R200" s="647"/>
      <c r="S200" s="647"/>
      <c r="T200" s="647"/>
      <c r="U200" s="647"/>
      <c r="V200" s="647"/>
      <c r="W200" s="647"/>
      <c r="X200" s="647"/>
      <c r="Y200" s="647"/>
      <c r="Z200" s="647"/>
      <c r="AA200" s="647"/>
      <c r="AB200" s="647"/>
      <c r="AC200" s="647"/>
    </row>
    <row r="201" spans="1:29" ht="36" customHeight="1">
      <c r="A201" s="659"/>
      <c r="B201" s="680"/>
      <c r="C201" s="681"/>
      <c r="D201" s="647"/>
      <c r="E201" s="647"/>
      <c r="F201" s="647"/>
      <c r="G201" s="647"/>
      <c r="H201" s="647"/>
      <c r="I201" s="647"/>
      <c r="J201" s="647"/>
      <c r="K201" s="647"/>
      <c r="L201" s="647"/>
      <c r="M201" s="647"/>
      <c r="N201" s="647"/>
      <c r="O201" s="647"/>
      <c r="P201" s="647"/>
      <c r="Q201" s="647"/>
      <c r="R201" s="647"/>
      <c r="S201" s="647"/>
      <c r="T201" s="647"/>
      <c r="U201" s="647"/>
      <c r="V201" s="647"/>
      <c r="W201" s="647"/>
      <c r="X201" s="647"/>
      <c r="Y201" s="647"/>
      <c r="Z201" s="647"/>
      <c r="AA201" s="647"/>
      <c r="AB201" s="647"/>
      <c r="AC201" s="647"/>
    </row>
    <row r="202" spans="1:29" ht="36" customHeight="1">
      <c r="A202" s="659"/>
      <c r="B202" s="680"/>
      <c r="C202" s="681"/>
      <c r="D202" s="647"/>
      <c r="E202" s="647"/>
      <c r="F202" s="647"/>
      <c r="G202" s="647"/>
      <c r="H202" s="647"/>
      <c r="I202" s="647"/>
      <c r="J202" s="647"/>
      <c r="K202" s="647"/>
      <c r="L202" s="647"/>
      <c r="M202" s="647"/>
      <c r="N202" s="647"/>
      <c r="O202" s="647"/>
      <c r="P202" s="647"/>
      <c r="Q202" s="647"/>
      <c r="R202" s="647"/>
      <c r="S202" s="647"/>
      <c r="T202" s="647"/>
      <c r="U202" s="647"/>
      <c r="V202" s="647"/>
      <c r="W202" s="647"/>
      <c r="X202" s="647"/>
      <c r="Y202" s="647"/>
      <c r="Z202" s="647"/>
      <c r="AA202" s="647"/>
      <c r="AB202" s="647"/>
      <c r="AC202" s="647"/>
    </row>
    <row r="203" spans="1:29" ht="36" customHeight="1">
      <c r="A203" s="659"/>
      <c r="B203" s="680"/>
      <c r="C203" s="681"/>
      <c r="D203" s="647"/>
      <c r="E203" s="647"/>
      <c r="F203" s="647"/>
      <c r="G203" s="647"/>
      <c r="H203" s="647"/>
      <c r="I203" s="647"/>
      <c r="J203" s="647"/>
      <c r="K203" s="647"/>
      <c r="L203" s="647"/>
      <c r="M203" s="647"/>
      <c r="N203" s="647"/>
      <c r="O203" s="647"/>
      <c r="P203" s="647"/>
      <c r="Q203" s="647"/>
      <c r="R203" s="647"/>
      <c r="S203" s="647"/>
      <c r="T203" s="647"/>
      <c r="U203" s="647"/>
      <c r="V203" s="647"/>
      <c r="W203" s="647"/>
      <c r="X203" s="647"/>
      <c r="Y203" s="647"/>
      <c r="Z203" s="647"/>
      <c r="AA203" s="647"/>
      <c r="AB203" s="647"/>
      <c r="AC203" s="647"/>
    </row>
    <row r="204" spans="1:29" ht="36" customHeight="1">
      <c r="A204" s="659"/>
      <c r="B204" s="680"/>
      <c r="C204" s="681"/>
      <c r="D204" s="647"/>
      <c r="E204" s="647"/>
      <c r="F204" s="647"/>
      <c r="G204" s="647"/>
      <c r="H204" s="647"/>
      <c r="I204" s="647"/>
      <c r="J204" s="647"/>
      <c r="K204" s="647"/>
      <c r="L204" s="647"/>
      <c r="M204" s="647"/>
      <c r="N204" s="647"/>
      <c r="O204" s="647"/>
      <c r="P204" s="647"/>
      <c r="Q204" s="647"/>
      <c r="R204" s="647"/>
      <c r="S204" s="647"/>
      <c r="T204" s="647"/>
      <c r="U204" s="647"/>
      <c r="V204" s="647"/>
      <c r="W204" s="647"/>
      <c r="X204" s="647"/>
      <c r="Y204" s="647"/>
      <c r="Z204" s="647"/>
      <c r="AA204" s="647"/>
      <c r="AB204" s="647"/>
      <c r="AC204" s="647"/>
    </row>
    <row r="205" spans="1:29" ht="36" customHeight="1">
      <c r="A205" s="659"/>
      <c r="B205" s="680"/>
      <c r="C205" s="681"/>
      <c r="D205" s="647"/>
      <c r="E205" s="647"/>
      <c r="F205" s="647"/>
      <c r="G205" s="647"/>
      <c r="H205" s="647"/>
      <c r="I205" s="647"/>
      <c r="J205" s="647"/>
      <c r="K205" s="647"/>
      <c r="L205" s="647"/>
      <c r="M205" s="647"/>
      <c r="N205" s="647"/>
      <c r="O205" s="647"/>
      <c r="P205" s="647"/>
      <c r="Q205" s="647"/>
      <c r="R205" s="647"/>
      <c r="S205" s="647"/>
      <c r="T205" s="647"/>
      <c r="U205" s="647"/>
      <c r="V205" s="647"/>
      <c r="W205" s="647"/>
      <c r="X205" s="647"/>
      <c r="Y205" s="647"/>
      <c r="Z205" s="647"/>
      <c r="AA205" s="647"/>
      <c r="AB205" s="647"/>
      <c r="AC205" s="647"/>
    </row>
    <row r="206" spans="1:29" ht="36" customHeight="1">
      <c r="A206" s="659"/>
      <c r="B206" s="680"/>
      <c r="C206" s="681"/>
      <c r="D206" s="647"/>
      <c r="E206" s="647"/>
      <c r="F206" s="647"/>
      <c r="G206" s="647"/>
      <c r="H206" s="647"/>
      <c r="I206" s="647"/>
      <c r="J206" s="647"/>
      <c r="K206" s="647"/>
      <c r="L206" s="647"/>
      <c r="M206" s="647"/>
      <c r="N206" s="647"/>
      <c r="O206" s="647"/>
      <c r="P206" s="647"/>
      <c r="Q206" s="647"/>
      <c r="R206" s="647"/>
      <c r="S206" s="647"/>
      <c r="T206" s="647"/>
      <c r="U206" s="647"/>
      <c r="V206" s="647"/>
      <c r="W206" s="647"/>
      <c r="X206" s="647"/>
      <c r="Y206" s="647"/>
      <c r="Z206" s="647"/>
      <c r="AA206" s="647"/>
      <c r="AB206" s="647"/>
      <c r="AC206" s="647"/>
    </row>
    <row r="207" spans="1:29" ht="36" customHeight="1">
      <c r="A207" s="659"/>
      <c r="B207" s="680"/>
      <c r="C207" s="681"/>
      <c r="D207" s="647"/>
      <c r="E207" s="647"/>
      <c r="F207" s="647"/>
      <c r="G207" s="647"/>
      <c r="H207" s="647"/>
      <c r="I207" s="647"/>
      <c r="J207" s="647"/>
      <c r="K207" s="647"/>
      <c r="L207" s="647"/>
      <c r="M207" s="647"/>
      <c r="N207" s="647"/>
      <c r="O207" s="647"/>
      <c r="P207" s="647"/>
      <c r="Q207" s="647"/>
      <c r="R207" s="647"/>
      <c r="S207" s="647"/>
      <c r="T207" s="647"/>
      <c r="U207" s="647"/>
      <c r="V207" s="647"/>
      <c r="W207" s="647"/>
      <c r="X207" s="647"/>
      <c r="Y207" s="647"/>
      <c r="Z207" s="647"/>
      <c r="AA207" s="647"/>
      <c r="AB207" s="647"/>
      <c r="AC207" s="647"/>
    </row>
    <row r="208" spans="1:29" ht="36" customHeight="1">
      <c r="A208" s="659"/>
      <c r="B208" s="680"/>
      <c r="C208" s="681"/>
      <c r="D208" s="647"/>
      <c r="E208" s="647"/>
      <c r="F208" s="647"/>
      <c r="G208" s="647"/>
      <c r="H208" s="647"/>
      <c r="I208" s="647"/>
      <c r="J208" s="647"/>
      <c r="K208" s="647"/>
      <c r="L208" s="647"/>
      <c r="M208" s="647"/>
      <c r="N208" s="647"/>
      <c r="O208" s="647"/>
      <c r="P208" s="647"/>
      <c r="Q208" s="647"/>
      <c r="R208" s="647"/>
      <c r="S208" s="647"/>
      <c r="T208" s="647"/>
      <c r="U208" s="647"/>
      <c r="V208" s="647"/>
      <c r="W208" s="647"/>
      <c r="X208" s="647"/>
      <c r="Y208" s="647"/>
      <c r="Z208" s="647"/>
      <c r="AA208" s="647"/>
      <c r="AB208" s="647"/>
      <c r="AC208" s="647"/>
    </row>
    <row r="209" spans="1:29" ht="36" customHeight="1">
      <c r="A209" s="659"/>
      <c r="B209" s="654"/>
      <c r="C209" s="655"/>
      <c r="D209" s="647"/>
      <c r="E209" s="647"/>
      <c r="F209" s="647"/>
      <c r="G209" s="647"/>
      <c r="H209" s="647"/>
      <c r="I209" s="647"/>
      <c r="J209" s="647"/>
      <c r="K209" s="647"/>
      <c r="L209" s="647"/>
      <c r="M209" s="647"/>
      <c r="N209" s="647"/>
      <c r="O209" s="647"/>
      <c r="P209" s="647"/>
      <c r="Q209" s="647"/>
      <c r="R209" s="647"/>
      <c r="S209" s="647"/>
      <c r="T209" s="647"/>
      <c r="U209" s="647"/>
      <c r="V209" s="647"/>
      <c r="W209" s="647"/>
      <c r="X209" s="647"/>
      <c r="Y209" s="647"/>
      <c r="Z209" s="647"/>
      <c r="AA209" s="647"/>
      <c r="AB209" s="647"/>
      <c r="AC209" s="647"/>
    </row>
    <row r="210" spans="1:29" ht="36" customHeight="1">
      <c r="A210" s="659"/>
      <c r="B210" s="680"/>
      <c r="C210" s="681"/>
      <c r="D210" s="647"/>
      <c r="E210" s="647"/>
      <c r="F210" s="647"/>
      <c r="G210" s="647"/>
      <c r="H210" s="647"/>
      <c r="I210" s="647"/>
      <c r="J210" s="647"/>
      <c r="K210" s="647"/>
      <c r="L210" s="647"/>
      <c r="M210" s="647"/>
      <c r="N210" s="647"/>
      <c r="O210" s="647"/>
      <c r="P210" s="647"/>
      <c r="Q210" s="647"/>
      <c r="R210" s="647"/>
      <c r="S210" s="647"/>
      <c r="T210" s="647"/>
      <c r="U210" s="647"/>
      <c r="V210" s="647"/>
      <c r="W210" s="647"/>
      <c r="X210" s="647"/>
      <c r="Y210" s="647"/>
      <c r="Z210" s="647"/>
      <c r="AA210" s="647"/>
      <c r="AB210" s="647"/>
      <c r="AC210" s="647"/>
    </row>
    <row r="211" spans="1:29" ht="36" customHeight="1">
      <c r="A211" s="659"/>
      <c r="B211" s="680"/>
      <c r="C211" s="681"/>
      <c r="D211" s="647"/>
      <c r="E211" s="647"/>
      <c r="F211" s="647"/>
      <c r="G211" s="647"/>
      <c r="H211" s="647"/>
      <c r="I211" s="647"/>
      <c r="J211" s="647"/>
      <c r="K211" s="647"/>
      <c r="L211" s="647"/>
      <c r="M211" s="647"/>
      <c r="N211" s="647"/>
      <c r="O211" s="647"/>
      <c r="P211" s="647"/>
      <c r="Q211" s="647"/>
      <c r="R211" s="647"/>
      <c r="S211" s="647"/>
      <c r="T211" s="647"/>
      <c r="U211" s="647"/>
      <c r="V211" s="647"/>
      <c r="W211" s="647"/>
      <c r="X211" s="647"/>
      <c r="Y211" s="647"/>
      <c r="Z211" s="647"/>
      <c r="AA211" s="647"/>
      <c r="AB211" s="647"/>
      <c r="AC211" s="647"/>
    </row>
    <row r="212" spans="1:29" ht="36" customHeight="1">
      <c r="A212" s="659"/>
      <c r="B212" s="680"/>
      <c r="C212" s="681"/>
      <c r="D212" s="647"/>
      <c r="E212" s="647"/>
      <c r="F212" s="647"/>
      <c r="G212" s="647"/>
      <c r="H212" s="647"/>
      <c r="I212" s="647"/>
      <c r="J212" s="647"/>
      <c r="K212" s="647"/>
      <c r="L212" s="647"/>
      <c r="M212" s="647"/>
      <c r="N212" s="647"/>
      <c r="O212" s="647"/>
      <c r="P212" s="647"/>
      <c r="Q212" s="647"/>
      <c r="R212" s="647"/>
      <c r="S212" s="647"/>
      <c r="T212" s="647"/>
      <c r="U212" s="647"/>
      <c r="V212" s="647"/>
      <c r="W212" s="647"/>
      <c r="X212" s="647"/>
      <c r="Y212" s="647"/>
      <c r="Z212" s="647"/>
      <c r="AA212" s="647"/>
      <c r="AB212" s="647"/>
      <c r="AC212" s="647"/>
    </row>
    <row r="213" spans="1:29" ht="36" customHeight="1">
      <c r="A213" s="659"/>
      <c r="B213" s="680"/>
      <c r="C213" s="681"/>
      <c r="D213" s="647"/>
      <c r="E213" s="647"/>
      <c r="F213" s="647"/>
      <c r="G213" s="647"/>
      <c r="H213" s="647"/>
      <c r="I213" s="647"/>
      <c r="J213" s="647"/>
      <c r="K213" s="647"/>
      <c r="L213" s="647"/>
      <c r="M213" s="647"/>
      <c r="N213" s="647"/>
      <c r="O213" s="647"/>
      <c r="P213" s="647"/>
      <c r="Q213" s="647"/>
      <c r="R213" s="647"/>
      <c r="S213" s="647"/>
      <c r="T213" s="647"/>
      <c r="U213" s="647"/>
      <c r="V213" s="647"/>
      <c r="W213" s="647"/>
      <c r="X213" s="647"/>
      <c r="Y213" s="647"/>
      <c r="Z213" s="647"/>
      <c r="AA213" s="647"/>
      <c r="AB213" s="647"/>
      <c r="AC213" s="647"/>
    </row>
    <row r="214" spans="1:29" ht="36" customHeight="1">
      <c r="A214" s="659"/>
      <c r="B214" s="680"/>
      <c r="C214" s="681"/>
      <c r="D214" s="647"/>
      <c r="E214" s="647"/>
      <c r="F214" s="647"/>
      <c r="G214" s="647"/>
      <c r="H214" s="647"/>
      <c r="I214" s="647"/>
      <c r="J214" s="647"/>
      <c r="K214" s="647"/>
      <c r="L214" s="647"/>
      <c r="M214" s="647"/>
      <c r="N214" s="647"/>
      <c r="O214" s="647"/>
      <c r="P214" s="647"/>
      <c r="Q214" s="647"/>
      <c r="R214" s="647"/>
      <c r="S214" s="647"/>
      <c r="T214" s="647"/>
      <c r="U214" s="647"/>
      <c r="V214" s="647"/>
      <c r="W214" s="647"/>
      <c r="X214" s="647"/>
      <c r="Y214" s="647"/>
      <c r="Z214" s="647"/>
      <c r="AA214" s="647"/>
      <c r="AB214" s="647"/>
      <c r="AC214" s="647"/>
    </row>
    <row r="215" spans="1:29" ht="36" customHeight="1">
      <c r="A215" s="659"/>
      <c r="B215" s="680"/>
      <c r="C215" s="681"/>
      <c r="D215" s="647"/>
      <c r="E215" s="647"/>
      <c r="F215" s="647"/>
      <c r="G215" s="647"/>
      <c r="H215" s="647"/>
      <c r="I215" s="647"/>
      <c r="J215" s="647"/>
      <c r="K215" s="647"/>
      <c r="L215" s="647"/>
      <c r="M215" s="647"/>
      <c r="N215" s="647"/>
      <c r="O215" s="647"/>
      <c r="P215" s="647"/>
      <c r="Q215" s="647"/>
      <c r="R215" s="647"/>
      <c r="S215" s="647"/>
      <c r="T215" s="647"/>
      <c r="U215" s="647"/>
      <c r="V215" s="647"/>
      <c r="W215" s="647"/>
      <c r="X215" s="647"/>
      <c r="Y215" s="647"/>
      <c r="Z215" s="647"/>
      <c r="AA215" s="647"/>
      <c r="AB215" s="647"/>
      <c r="AC215" s="647"/>
    </row>
    <row r="216" spans="1:29" ht="36" customHeight="1">
      <c r="A216" s="659"/>
      <c r="B216" s="680"/>
      <c r="C216" s="681"/>
      <c r="D216" s="647"/>
      <c r="E216" s="647"/>
      <c r="F216" s="647"/>
      <c r="G216" s="647"/>
      <c r="H216" s="647"/>
      <c r="I216" s="647"/>
      <c r="J216" s="647"/>
      <c r="K216" s="647"/>
      <c r="L216" s="647"/>
      <c r="M216" s="647"/>
      <c r="N216" s="647"/>
      <c r="O216" s="647"/>
      <c r="P216" s="647"/>
      <c r="Q216" s="647"/>
      <c r="R216" s="647"/>
      <c r="S216" s="647"/>
      <c r="T216" s="647"/>
      <c r="U216" s="647"/>
      <c r="V216" s="647"/>
      <c r="W216" s="647"/>
      <c r="X216" s="647"/>
      <c r="Y216" s="647"/>
      <c r="Z216" s="647"/>
      <c r="AA216" s="647"/>
      <c r="AB216" s="647"/>
      <c r="AC216" s="647"/>
    </row>
    <row r="217" spans="1:29" ht="36" customHeight="1">
      <c r="A217" s="659"/>
      <c r="B217" s="680"/>
      <c r="C217" s="681"/>
      <c r="D217" s="647"/>
      <c r="E217" s="647"/>
      <c r="F217" s="647"/>
      <c r="G217" s="647"/>
      <c r="H217" s="647"/>
      <c r="I217" s="647"/>
      <c r="J217" s="647"/>
      <c r="K217" s="647"/>
      <c r="L217" s="647"/>
      <c r="M217" s="647"/>
      <c r="N217" s="647"/>
      <c r="O217" s="647"/>
      <c r="P217" s="647"/>
      <c r="Q217" s="647"/>
      <c r="R217" s="647"/>
      <c r="S217" s="647"/>
      <c r="T217" s="647"/>
      <c r="U217" s="647"/>
      <c r="V217" s="647"/>
      <c r="W217" s="647"/>
      <c r="X217" s="647"/>
      <c r="Y217" s="647"/>
      <c r="Z217" s="647"/>
      <c r="AA217" s="647"/>
      <c r="AB217" s="647"/>
      <c r="AC217" s="647"/>
    </row>
    <row r="218" spans="1:29" ht="36" customHeight="1">
      <c r="A218" s="659"/>
      <c r="B218" s="680"/>
      <c r="C218" s="681"/>
      <c r="D218" s="647"/>
      <c r="E218" s="647"/>
      <c r="F218" s="647"/>
      <c r="G218" s="647"/>
      <c r="H218" s="647"/>
      <c r="I218" s="647"/>
      <c r="J218" s="647"/>
      <c r="K218" s="647"/>
      <c r="L218" s="647"/>
      <c r="M218" s="647"/>
      <c r="N218" s="647"/>
      <c r="O218" s="647"/>
      <c r="P218" s="647"/>
      <c r="Q218" s="647"/>
      <c r="R218" s="647"/>
      <c r="S218" s="647"/>
      <c r="T218" s="647"/>
      <c r="U218" s="647"/>
      <c r="V218" s="647"/>
      <c r="W218" s="647"/>
      <c r="X218" s="647"/>
      <c r="Y218" s="647"/>
      <c r="Z218" s="647"/>
      <c r="AA218" s="647"/>
      <c r="AB218" s="647"/>
      <c r="AC218" s="647"/>
    </row>
    <row r="219" spans="1:29" ht="36" customHeight="1">
      <c r="A219" s="659"/>
      <c r="B219" s="680"/>
      <c r="C219" s="681"/>
      <c r="D219" s="647"/>
      <c r="E219" s="647"/>
      <c r="F219" s="647"/>
      <c r="G219" s="647"/>
      <c r="H219" s="647"/>
      <c r="I219" s="647"/>
      <c r="J219" s="647"/>
      <c r="K219" s="647"/>
      <c r="L219" s="647"/>
      <c r="M219" s="647"/>
      <c r="N219" s="647"/>
      <c r="O219" s="647"/>
      <c r="P219" s="647"/>
      <c r="Q219" s="647"/>
      <c r="R219" s="647"/>
      <c r="S219" s="647"/>
      <c r="T219" s="647"/>
      <c r="U219" s="647"/>
      <c r="V219" s="647"/>
      <c r="W219" s="647"/>
      <c r="X219" s="647"/>
      <c r="Y219" s="647"/>
      <c r="Z219" s="647"/>
      <c r="AA219" s="647"/>
      <c r="AB219" s="647"/>
      <c r="AC219" s="647"/>
    </row>
    <row r="220" spans="1:29" ht="36" customHeight="1">
      <c r="A220" s="659"/>
      <c r="B220" s="680"/>
      <c r="C220" s="681"/>
      <c r="D220" s="647"/>
      <c r="E220" s="647"/>
      <c r="F220" s="647"/>
      <c r="G220" s="647"/>
      <c r="H220" s="647"/>
      <c r="I220" s="647"/>
      <c r="J220" s="647"/>
      <c r="K220" s="647"/>
      <c r="L220" s="647"/>
      <c r="M220" s="647"/>
      <c r="N220" s="647"/>
      <c r="O220" s="647"/>
      <c r="P220" s="647"/>
      <c r="Q220" s="647"/>
      <c r="R220" s="647"/>
      <c r="S220" s="647"/>
      <c r="T220" s="647"/>
      <c r="U220" s="647"/>
      <c r="V220" s="647"/>
      <c r="W220" s="647"/>
      <c r="X220" s="647"/>
      <c r="Y220" s="647"/>
      <c r="Z220" s="647"/>
      <c r="AA220" s="647"/>
      <c r="AB220" s="647"/>
      <c r="AC220" s="647"/>
    </row>
    <row r="221" spans="1:29" ht="36" customHeight="1">
      <c r="A221" s="659"/>
      <c r="B221" s="680"/>
      <c r="C221" s="681"/>
      <c r="D221" s="647"/>
      <c r="E221" s="647"/>
      <c r="F221" s="647"/>
      <c r="G221" s="647"/>
      <c r="H221" s="647"/>
      <c r="I221" s="647"/>
      <c r="J221" s="647"/>
      <c r="K221" s="647"/>
      <c r="L221" s="647"/>
      <c r="M221" s="647"/>
      <c r="N221" s="647"/>
      <c r="O221" s="647"/>
      <c r="P221" s="647"/>
      <c r="Q221" s="647"/>
      <c r="R221" s="647"/>
      <c r="S221" s="647"/>
      <c r="T221" s="647"/>
      <c r="U221" s="647"/>
      <c r="V221" s="647"/>
      <c r="W221" s="647"/>
      <c r="X221" s="647"/>
      <c r="Y221" s="647"/>
      <c r="Z221" s="647"/>
      <c r="AA221" s="647"/>
      <c r="AB221" s="647"/>
      <c r="AC221" s="647"/>
    </row>
    <row r="222" spans="1:29" ht="36" customHeight="1">
      <c r="A222" s="659"/>
      <c r="B222" s="680"/>
      <c r="C222" s="681"/>
      <c r="D222" s="647"/>
      <c r="E222" s="647"/>
      <c r="F222" s="647"/>
      <c r="G222" s="647"/>
      <c r="H222" s="647"/>
      <c r="I222" s="647"/>
      <c r="J222" s="647"/>
      <c r="K222" s="647"/>
      <c r="L222" s="647"/>
      <c r="M222" s="647"/>
      <c r="N222" s="647"/>
      <c r="O222" s="647"/>
      <c r="P222" s="647"/>
      <c r="Q222" s="647"/>
      <c r="R222" s="647"/>
      <c r="S222" s="647"/>
      <c r="T222" s="647"/>
      <c r="U222" s="647"/>
      <c r="V222" s="647"/>
      <c r="W222" s="647"/>
      <c r="X222" s="647"/>
      <c r="Y222" s="647"/>
      <c r="Z222" s="647"/>
      <c r="AA222" s="647"/>
      <c r="AB222" s="647"/>
      <c r="AC222" s="647"/>
    </row>
    <row r="223" spans="1:29" ht="36" customHeight="1">
      <c r="A223" s="659"/>
      <c r="B223" s="680"/>
      <c r="C223" s="681"/>
      <c r="D223" s="647"/>
      <c r="E223" s="647"/>
      <c r="F223" s="647"/>
      <c r="G223" s="647"/>
      <c r="H223" s="647"/>
      <c r="I223" s="647"/>
      <c r="J223" s="647"/>
      <c r="K223" s="647"/>
      <c r="L223" s="647"/>
      <c r="M223" s="647"/>
      <c r="N223" s="647"/>
      <c r="O223" s="647"/>
      <c r="P223" s="647"/>
      <c r="Q223" s="647"/>
      <c r="R223" s="647"/>
      <c r="S223" s="647"/>
      <c r="T223" s="647"/>
      <c r="U223" s="647"/>
      <c r="V223" s="647"/>
      <c r="W223" s="647"/>
      <c r="X223" s="647"/>
      <c r="Y223" s="647"/>
      <c r="Z223" s="647"/>
      <c r="AA223" s="647"/>
      <c r="AB223" s="647"/>
      <c r="AC223" s="647"/>
    </row>
    <row r="224" spans="1:29" ht="36" customHeight="1">
      <c r="A224" s="659"/>
      <c r="B224" s="680"/>
      <c r="C224" s="681"/>
      <c r="D224" s="647"/>
      <c r="E224" s="647"/>
      <c r="F224" s="647"/>
      <c r="G224" s="647"/>
      <c r="H224" s="647"/>
      <c r="I224" s="647"/>
      <c r="J224" s="647"/>
      <c r="K224" s="647"/>
      <c r="L224" s="647"/>
      <c r="M224" s="647"/>
      <c r="N224" s="647"/>
      <c r="O224" s="647"/>
      <c r="P224" s="647"/>
      <c r="Q224" s="647"/>
      <c r="R224" s="647"/>
      <c r="S224" s="647"/>
      <c r="T224" s="647"/>
      <c r="U224" s="647"/>
      <c r="V224" s="647"/>
      <c r="W224" s="647"/>
      <c r="X224" s="647"/>
      <c r="Y224" s="647"/>
      <c r="Z224" s="647"/>
      <c r="AA224" s="647"/>
      <c r="AB224" s="647"/>
      <c r="AC224" s="647"/>
    </row>
    <row r="225" spans="1:29" ht="36" customHeight="1">
      <c r="A225" s="659"/>
      <c r="B225" s="680"/>
      <c r="C225" s="681"/>
      <c r="D225" s="647"/>
      <c r="E225" s="647"/>
      <c r="F225" s="647"/>
      <c r="G225" s="647"/>
      <c r="H225" s="647"/>
      <c r="I225" s="647"/>
      <c r="J225" s="647"/>
      <c r="K225" s="647"/>
      <c r="L225" s="647"/>
      <c r="M225" s="647"/>
      <c r="N225" s="647"/>
      <c r="O225" s="647"/>
      <c r="P225" s="647"/>
      <c r="Q225" s="647"/>
      <c r="R225" s="647"/>
      <c r="S225" s="647"/>
      <c r="T225" s="647"/>
      <c r="U225" s="647"/>
      <c r="V225" s="647"/>
      <c r="W225" s="647"/>
      <c r="X225" s="647"/>
      <c r="Y225" s="647"/>
      <c r="Z225" s="647"/>
      <c r="AA225" s="647"/>
      <c r="AB225" s="647"/>
      <c r="AC225" s="647"/>
    </row>
    <row r="226" spans="1:29" ht="36" customHeight="1">
      <c r="A226" s="659"/>
      <c r="B226" s="680"/>
      <c r="C226" s="681"/>
      <c r="D226" s="647"/>
      <c r="E226" s="647"/>
      <c r="F226" s="647"/>
      <c r="G226" s="647"/>
      <c r="H226" s="647"/>
      <c r="I226" s="647"/>
      <c r="J226" s="647"/>
      <c r="K226" s="647"/>
      <c r="L226" s="647"/>
      <c r="M226" s="647"/>
      <c r="N226" s="647"/>
      <c r="O226" s="647"/>
      <c r="P226" s="647"/>
      <c r="Q226" s="647"/>
      <c r="R226" s="647"/>
      <c r="S226" s="647"/>
      <c r="T226" s="647"/>
      <c r="U226" s="647"/>
      <c r="V226" s="647"/>
      <c r="W226" s="647"/>
      <c r="X226" s="647"/>
      <c r="Y226" s="647"/>
      <c r="Z226" s="647"/>
      <c r="AA226" s="647"/>
      <c r="AB226" s="647"/>
      <c r="AC226" s="647"/>
    </row>
    <row r="227" spans="1:29" ht="36" customHeight="1">
      <c r="A227" s="659"/>
      <c r="B227" s="680"/>
      <c r="C227" s="681"/>
      <c r="D227" s="647"/>
      <c r="E227" s="647"/>
      <c r="F227" s="647"/>
      <c r="G227" s="647"/>
      <c r="H227" s="647"/>
      <c r="I227" s="647"/>
      <c r="J227" s="647"/>
      <c r="K227" s="647"/>
      <c r="L227" s="647"/>
      <c r="M227" s="647"/>
      <c r="N227" s="647"/>
      <c r="O227" s="647"/>
      <c r="P227" s="647"/>
      <c r="Q227" s="647"/>
      <c r="R227" s="647"/>
      <c r="S227" s="647"/>
      <c r="T227" s="647"/>
      <c r="U227" s="647"/>
      <c r="V227" s="647"/>
      <c r="W227" s="647"/>
      <c r="X227" s="647"/>
      <c r="Y227" s="647"/>
      <c r="Z227" s="647"/>
      <c r="AA227" s="647"/>
      <c r="AB227" s="647"/>
      <c r="AC227" s="647"/>
    </row>
    <row r="228" spans="1:29" ht="36" customHeight="1">
      <c r="A228" s="659"/>
      <c r="B228" s="680"/>
      <c r="C228" s="681"/>
      <c r="D228" s="647"/>
      <c r="E228" s="647"/>
      <c r="F228" s="647"/>
      <c r="G228" s="647"/>
      <c r="H228" s="647"/>
      <c r="I228" s="647"/>
      <c r="J228" s="647"/>
      <c r="K228" s="647"/>
      <c r="L228" s="647"/>
      <c r="M228" s="647"/>
      <c r="N228" s="647"/>
      <c r="O228" s="647"/>
      <c r="P228" s="647"/>
      <c r="Q228" s="647"/>
      <c r="R228" s="647"/>
      <c r="S228" s="647"/>
      <c r="T228" s="647"/>
      <c r="U228" s="647"/>
      <c r="V228" s="647"/>
      <c r="W228" s="647"/>
      <c r="X228" s="647"/>
      <c r="Y228" s="647"/>
      <c r="Z228" s="647"/>
      <c r="AA228" s="647"/>
      <c r="AB228" s="647"/>
      <c r="AC228" s="647"/>
    </row>
    <row r="229" spans="1:29" ht="36" customHeight="1">
      <c r="A229" s="659"/>
      <c r="B229" s="680"/>
      <c r="C229" s="681"/>
      <c r="D229" s="647"/>
      <c r="E229" s="647"/>
      <c r="F229" s="647"/>
      <c r="G229" s="647"/>
      <c r="H229" s="647"/>
      <c r="I229" s="647"/>
      <c r="J229" s="647"/>
      <c r="K229" s="647"/>
      <c r="L229" s="647"/>
      <c r="M229" s="647"/>
      <c r="N229" s="647"/>
      <c r="O229" s="647"/>
      <c r="P229" s="647"/>
      <c r="Q229" s="647"/>
      <c r="R229" s="647"/>
      <c r="S229" s="647"/>
      <c r="T229" s="647"/>
      <c r="U229" s="647"/>
      <c r="V229" s="647"/>
      <c r="W229" s="647"/>
      <c r="X229" s="647"/>
      <c r="Y229" s="647"/>
      <c r="Z229" s="647"/>
      <c r="AA229" s="647"/>
      <c r="AB229" s="647"/>
      <c r="AC229" s="647"/>
    </row>
    <row r="230" spans="1:29" ht="36" customHeight="1">
      <c r="A230" s="659"/>
      <c r="B230" s="680"/>
      <c r="C230" s="681"/>
      <c r="D230" s="647"/>
      <c r="E230" s="647"/>
      <c r="F230" s="647"/>
      <c r="G230" s="647"/>
      <c r="H230" s="647"/>
      <c r="I230" s="647"/>
      <c r="J230" s="647"/>
      <c r="K230" s="647"/>
      <c r="L230" s="647"/>
      <c r="M230" s="647"/>
      <c r="N230" s="647"/>
      <c r="O230" s="647"/>
      <c r="P230" s="647"/>
      <c r="Q230" s="647"/>
      <c r="R230" s="647"/>
      <c r="S230" s="647"/>
      <c r="T230" s="647"/>
      <c r="U230" s="647"/>
      <c r="V230" s="647"/>
      <c r="W230" s="647"/>
      <c r="X230" s="647"/>
      <c r="Y230" s="647"/>
      <c r="Z230" s="647"/>
      <c r="AA230" s="647"/>
      <c r="AB230" s="647"/>
      <c r="AC230" s="647"/>
    </row>
    <row r="231" spans="1:29" ht="36" customHeight="1">
      <c r="A231" s="659"/>
      <c r="B231" s="680"/>
      <c r="C231" s="681"/>
      <c r="D231" s="647"/>
      <c r="E231" s="647"/>
      <c r="F231" s="647"/>
      <c r="G231" s="647"/>
      <c r="H231" s="647"/>
      <c r="I231" s="647"/>
      <c r="J231" s="647"/>
      <c r="K231" s="647"/>
      <c r="L231" s="647"/>
      <c r="M231" s="647"/>
      <c r="N231" s="647"/>
      <c r="O231" s="647"/>
      <c r="P231" s="647"/>
      <c r="Q231" s="647"/>
      <c r="R231" s="647"/>
      <c r="S231" s="647"/>
      <c r="T231" s="647"/>
      <c r="U231" s="647"/>
      <c r="V231" s="647"/>
      <c r="W231" s="647"/>
      <c r="X231" s="647"/>
      <c r="Y231" s="647"/>
      <c r="Z231" s="647"/>
      <c r="AA231" s="647"/>
      <c r="AB231" s="647"/>
      <c r="AC231" s="647"/>
    </row>
    <row r="232" spans="1:29" ht="36" customHeight="1">
      <c r="A232" s="659"/>
      <c r="B232" s="680"/>
      <c r="C232" s="682"/>
      <c r="D232" s="647"/>
      <c r="E232" s="647"/>
      <c r="F232" s="647"/>
      <c r="G232" s="647"/>
      <c r="H232" s="647"/>
      <c r="I232" s="647"/>
      <c r="J232" s="647"/>
      <c r="K232" s="647"/>
      <c r="L232" s="647"/>
      <c r="M232" s="647"/>
      <c r="N232" s="647"/>
      <c r="O232" s="647"/>
      <c r="P232" s="647"/>
      <c r="Q232" s="647"/>
      <c r="R232" s="647"/>
      <c r="S232" s="647"/>
      <c r="T232" s="647"/>
      <c r="U232" s="647"/>
      <c r="V232" s="647"/>
      <c r="W232" s="647"/>
      <c r="X232" s="647"/>
      <c r="Y232" s="647"/>
      <c r="Z232" s="647"/>
      <c r="AA232" s="647"/>
      <c r="AB232" s="647"/>
      <c r="AC232" s="647"/>
    </row>
    <row r="233" spans="1:29" ht="36" customHeight="1">
      <c r="A233" s="659"/>
      <c r="B233" s="683"/>
      <c r="C233" s="681"/>
      <c r="D233" s="647"/>
      <c r="E233" s="647"/>
      <c r="F233" s="647"/>
      <c r="G233" s="647"/>
      <c r="H233" s="647"/>
      <c r="I233" s="647"/>
      <c r="J233" s="647"/>
      <c r="K233" s="647"/>
      <c r="L233" s="647"/>
      <c r="M233" s="647"/>
      <c r="N233" s="647"/>
      <c r="O233" s="647"/>
      <c r="P233" s="647"/>
      <c r="Q233" s="647"/>
      <c r="R233" s="647"/>
      <c r="S233" s="647"/>
      <c r="T233" s="647"/>
      <c r="U233" s="647"/>
      <c r="V233" s="647"/>
      <c r="W233" s="647"/>
      <c r="X233" s="647"/>
      <c r="Y233" s="647"/>
      <c r="Z233" s="647"/>
      <c r="AA233" s="647"/>
      <c r="AB233" s="647"/>
      <c r="AC233" s="647"/>
    </row>
    <row r="234" spans="1:29" ht="36" customHeight="1">
      <c r="A234" s="659"/>
      <c r="B234" s="654"/>
      <c r="C234" s="655"/>
      <c r="D234" s="647"/>
      <c r="E234" s="647"/>
      <c r="F234" s="647"/>
      <c r="G234" s="647"/>
      <c r="H234" s="647"/>
      <c r="I234" s="647"/>
      <c r="J234" s="647"/>
      <c r="K234" s="647"/>
      <c r="L234" s="647"/>
      <c r="M234" s="647"/>
      <c r="N234" s="647"/>
      <c r="O234" s="647"/>
      <c r="P234" s="647"/>
      <c r="Q234" s="647"/>
      <c r="R234" s="647"/>
      <c r="S234" s="647"/>
      <c r="T234" s="647"/>
      <c r="U234" s="647"/>
      <c r="V234" s="647"/>
      <c r="W234" s="647"/>
      <c r="X234" s="647"/>
      <c r="Y234" s="647"/>
      <c r="Z234" s="647"/>
      <c r="AA234" s="647"/>
      <c r="AB234" s="647"/>
      <c r="AC234" s="647"/>
    </row>
    <row r="235" spans="1:29" ht="36" customHeight="1">
      <c r="A235" s="659"/>
      <c r="B235" s="680"/>
      <c r="C235" s="681"/>
      <c r="D235" s="647"/>
      <c r="E235" s="647"/>
      <c r="F235" s="647"/>
      <c r="G235" s="647"/>
      <c r="H235" s="647"/>
      <c r="I235" s="647"/>
      <c r="J235" s="647"/>
      <c r="K235" s="647"/>
      <c r="L235" s="647"/>
      <c r="M235" s="647"/>
      <c r="N235" s="647"/>
      <c r="O235" s="647"/>
      <c r="P235" s="647"/>
      <c r="Q235" s="647"/>
      <c r="R235" s="647"/>
      <c r="S235" s="647"/>
      <c r="T235" s="647"/>
      <c r="U235" s="647"/>
      <c r="V235" s="647"/>
      <c r="W235" s="647"/>
      <c r="X235" s="647"/>
      <c r="Y235" s="647"/>
      <c r="Z235" s="647"/>
      <c r="AA235" s="647"/>
      <c r="AB235" s="647"/>
      <c r="AC235" s="647"/>
    </row>
    <row r="236" spans="1:29" ht="36" customHeight="1">
      <c r="A236" s="659"/>
      <c r="B236" s="680"/>
      <c r="C236" s="681"/>
      <c r="D236" s="647"/>
      <c r="E236" s="647"/>
      <c r="F236" s="647"/>
      <c r="G236" s="647"/>
      <c r="H236" s="647"/>
      <c r="I236" s="647"/>
      <c r="J236" s="647"/>
      <c r="K236" s="647"/>
      <c r="L236" s="647"/>
      <c r="M236" s="647"/>
      <c r="N236" s="647"/>
      <c r="O236" s="647"/>
      <c r="P236" s="647"/>
      <c r="Q236" s="647"/>
      <c r="R236" s="647"/>
      <c r="S236" s="647"/>
      <c r="T236" s="647"/>
      <c r="U236" s="647"/>
      <c r="V236" s="647"/>
      <c r="W236" s="647"/>
      <c r="X236" s="647"/>
      <c r="Y236" s="647"/>
      <c r="Z236" s="647"/>
      <c r="AA236" s="647"/>
      <c r="AB236" s="647"/>
      <c r="AC236" s="647"/>
    </row>
    <row r="237" spans="1:29" ht="36" customHeight="1">
      <c r="A237" s="659"/>
      <c r="B237" s="680"/>
      <c r="C237" s="681"/>
      <c r="D237" s="647"/>
      <c r="E237" s="647"/>
      <c r="F237" s="647"/>
      <c r="G237" s="647"/>
      <c r="H237" s="647"/>
      <c r="I237" s="647"/>
      <c r="J237" s="647"/>
      <c r="K237" s="647"/>
      <c r="L237" s="647"/>
      <c r="M237" s="647"/>
      <c r="N237" s="647"/>
      <c r="O237" s="647"/>
      <c r="P237" s="647"/>
      <c r="Q237" s="647"/>
      <c r="R237" s="647"/>
      <c r="S237" s="647"/>
      <c r="T237" s="647"/>
      <c r="U237" s="647"/>
      <c r="V237" s="647"/>
      <c r="W237" s="647"/>
      <c r="X237" s="647"/>
      <c r="Y237" s="647"/>
      <c r="Z237" s="647"/>
      <c r="AA237" s="647"/>
      <c r="AB237" s="647"/>
      <c r="AC237" s="647"/>
    </row>
    <row r="238" spans="1:29" ht="36" customHeight="1">
      <c r="A238" s="659"/>
      <c r="B238" s="654"/>
      <c r="C238" s="655"/>
      <c r="D238" s="647"/>
      <c r="E238" s="647"/>
      <c r="F238" s="647"/>
      <c r="G238" s="647"/>
      <c r="H238" s="647"/>
      <c r="I238" s="647"/>
      <c r="J238" s="647"/>
      <c r="K238" s="647"/>
      <c r="L238" s="647"/>
      <c r="M238" s="647"/>
      <c r="N238" s="647"/>
      <c r="O238" s="647"/>
      <c r="P238" s="647"/>
      <c r="Q238" s="647"/>
      <c r="R238" s="647"/>
      <c r="S238" s="647"/>
      <c r="T238" s="647"/>
      <c r="U238" s="647"/>
      <c r="V238" s="647"/>
      <c r="W238" s="647"/>
      <c r="X238" s="647"/>
      <c r="Y238" s="647"/>
      <c r="Z238" s="647"/>
      <c r="AA238" s="647"/>
      <c r="AB238" s="647"/>
      <c r="AC238" s="647"/>
    </row>
    <row r="239" spans="1:29" ht="36" customHeight="1">
      <c r="A239" s="659"/>
      <c r="B239" s="680"/>
      <c r="C239" s="681"/>
      <c r="D239" s="647"/>
      <c r="E239" s="647"/>
      <c r="F239" s="647"/>
      <c r="G239" s="647"/>
      <c r="H239" s="647"/>
      <c r="I239" s="647"/>
      <c r="J239" s="647"/>
      <c r="K239" s="647"/>
      <c r="L239" s="647"/>
      <c r="M239" s="647"/>
      <c r="N239" s="647"/>
      <c r="O239" s="647"/>
      <c r="P239" s="647"/>
      <c r="Q239" s="647"/>
      <c r="R239" s="647"/>
      <c r="S239" s="647"/>
      <c r="T239" s="647"/>
      <c r="U239" s="647"/>
      <c r="V239" s="647"/>
      <c r="W239" s="647"/>
      <c r="X239" s="647"/>
      <c r="Y239" s="647"/>
      <c r="Z239" s="647"/>
      <c r="AA239" s="647"/>
      <c r="AB239" s="647"/>
      <c r="AC239" s="647"/>
    </row>
    <row r="240" spans="1:29" ht="36" customHeight="1">
      <c r="A240" s="659"/>
      <c r="B240" s="680"/>
      <c r="C240" s="681"/>
      <c r="D240" s="647"/>
      <c r="E240" s="647"/>
      <c r="F240" s="647"/>
      <c r="G240" s="647"/>
      <c r="H240" s="647"/>
      <c r="I240" s="647"/>
      <c r="J240" s="647"/>
      <c r="K240" s="647"/>
      <c r="L240" s="647"/>
      <c r="M240" s="647"/>
      <c r="N240" s="647"/>
      <c r="O240" s="647"/>
      <c r="P240" s="647"/>
      <c r="Q240" s="647"/>
      <c r="R240" s="647"/>
      <c r="S240" s="647"/>
      <c r="T240" s="647"/>
      <c r="U240" s="647"/>
      <c r="V240" s="647"/>
      <c r="W240" s="647"/>
      <c r="X240" s="647"/>
      <c r="Y240" s="647"/>
      <c r="Z240" s="647"/>
      <c r="AA240" s="647"/>
      <c r="AB240" s="647"/>
      <c r="AC240" s="647"/>
    </row>
    <row r="241" spans="1:29" ht="36" customHeight="1">
      <c r="A241" s="659"/>
      <c r="B241" s="680"/>
      <c r="C241" s="681"/>
      <c r="D241" s="647"/>
      <c r="E241" s="647"/>
      <c r="F241" s="647"/>
      <c r="G241" s="647"/>
      <c r="H241" s="647"/>
      <c r="I241" s="647"/>
      <c r="J241" s="647"/>
      <c r="K241" s="647"/>
      <c r="L241" s="647"/>
      <c r="M241" s="647"/>
      <c r="N241" s="647"/>
      <c r="O241" s="647"/>
      <c r="P241" s="647"/>
      <c r="Q241" s="647"/>
      <c r="R241" s="647"/>
      <c r="S241" s="647"/>
      <c r="T241" s="647"/>
      <c r="U241" s="647"/>
      <c r="V241" s="647"/>
      <c r="W241" s="647"/>
      <c r="X241" s="647"/>
      <c r="Y241" s="647"/>
      <c r="Z241" s="647"/>
      <c r="AA241" s="647"/>
      <c r="AB241" s="647"/>
      <c r="AC241" s="647"/>
    </row>
    <row r="242" spans="1:29" ht="36" customHeight="1">
      <c r="A242" s="659"/>
      <c r="B242" s="680"/>
      <c r="C242" s="681"/>
      <c r="D242" s="647"/>
      <c r="E242" s="647"/>
      <c r="F242" s="647"/>
      <c r="G242" s="647"/>
      <c r="H242" s="647"/>
      <c r="I242" s="647"/>
      <c r="J242" s="647"/>
      <c r="K242" s="647"/>
      <c r="L242" s="647"/>
      <c r="M242" s="647"/>
      <c r="N242" s="647"/>
      <c r="O242" s="647"/>
      <c r="P242" s="647"/>
      <c r="Q242" s="647"/>
      <c r="R242" s="647"/>
      <c r="S242" s="647"/>
      <c r="T242" s="647"/>
      <c r="U242" s="647"/>
      <c r="V242" s="647"/>
      <c r="W242" s="647"/>
      <c r="X242" s="647"/>
      <c r="Y242" s="647"/>
      <c r="Z242" s="647"/>
      <c r="AA242" s="647"/>
      <c r="AB242" s="647"/>
      <c r="AC242" s="647"/>
    </row>
    <row r="243" spans="1:29" ht="36" customHeight="1">
      <c r="A243" s="659"/>
      <c r="B243" s="683"/>
      <c r="C243" s="681"/>
      <c r="D243" s="647"/>
      <c r="E243" s="647"/>
      <c r="F243" s="647"/>
      <c r="G243" s="647"/>
      <c r="H243" s="647"/>
      <c r="I243" s="647"/>
      <c r="J243" s="647"/>
      <c r="K243" s="647"/>
      <c r="L243" s="647"/>
      <c r="M243" s="647"/>
      <c r="N243" s="647"/>
      <c r="O243" s="647"/>
      <c r="P243" s="647"/>
      <c r="Q243" s="647"/>
      <c r="R243" s="647"/>
      <c r="S243" s="647"/>
      <c r="T243" s="647"/>
      <c r="U243" s="647"/>
      <c r="V243" s="647"/>
      <c r="W243" s="647"/>
      <c r="X243" s="647"/>
      <c r="Y243" s="647"/>
      <c r="Z243" s="647"/>
      <c r="AA243" s="647"/>
      <c r="AB243" s="647"/>
      <c r="AC243" s="647"/>
    </row>
    <row r="244" spans="1:29" ht="36" customHeight="1">
      <c r="A244" s="659"/>
      <c r="B244" s="683"/>
      <c r="C244" s="681"/>
      <c r="D244" s="647"/>
      <c r="E244" s="647"/>
      <c r="F244" s="647"/>
      <c r="G244" s="647"/>
      <c r="H244" s="647"/>
      <c r="I244" s="647"/>
      <c r="J244" s="647"/>
      <c r="K244" s="647"/>
      <c r="L244" s="647"/>
      <c r="M244" s="647"/>
      <c r="N244" s="647"/>
      <c r="O244" s="647"/>
      <c r="P244" s="647"/>
      <c r="Q244" s="647"/>
      <c r="R244" s="647"/>
      <c r="S244" s="647"/>
      <c r="T244" s="647"/>
      <c r="U244" s="647"/>
      <c r="V244" s="647"/>
      <c r="W244" s="647"/>
      <c r="X244" s="647"/>
      <c r="Y244" s="647"/>
      <c r="Z244" s="647"/>
      <c r="AA244" s="647"/>
      <c r="AB244" s="647"/>
      <c r="AC244" s="647"/>
    </row>
    <row r="245" spans="1:29" ht="36" customHeight="1">
      <c r="A245" s="659"/>
      <c r="B245" s="683"/>
      <c r="C245" s="681"/>
      <c r="D245" s="647"/>
      <c r="E245" s="647"/>
      <c r="F245" s="647"/>
      <c r="G245" s="647"/>
      <c r="H245" s="647"/>
      <c r="I245" s="647"/>
      <c r="J245" s="647"/>
      <c r="K245" s="647"/>
      <c r="L245" s="647"/>
      <c r="M245" s="647"/>
      <c r="N245" s="647"/>
      <c r="O245" s="647"/>
      <c r="P245" s="647"/>
      <c r="Q245" s="647"/>
      <c r="R245" s="647"/>
      <c r="S245" s="647"/>
      <c r="T245" s="647"/>
      <c r="U245" s="647"/>
      <c r="V245" s="647"/>
      <c r="W245" s="647"/>
      <c r="X245" s="647"/>
      <c r="Y245" s="647"/>
      <c r="Z245" s="647"/>
      <c r="AA245" s="647"/>
      <c r="AB245" s="647"/>
      <c r="AC245" s="647"/>
    </row>
    <row r="246" spans="1:29" ht="36" customHeight="1">
      <c r="A246" s="659"/>
      <c r="B246" s="683"/>
      <c r="C246" s="681"/>
      <c r="D246" s="647"/>
      <c r="E246" s="647"/>
      <c r="F246" s="647"/>
      <c r="G246" s="647"/>
      <c r="H246" s="647"/>
      <c r="I246" s="647"/>
      <c r="J246" s="647"/>
      <c r="K246" s="647"/>
      <c r="L246" s="647"/>
      <c r="M246" s="647"/>
      <c r="N246" s="647"/>
      <c r="O246" s="647"/>
      <c r="P246" s="647"/>
      <c r="Q246" s="647"/>
      <c r="R246" s="647"/>
      <c r="S246" s="647"/>
      <c r="T246" s="647"/>
      <c r="U246" s="647"/>
      <c r="V246" s="647"/>
      <c r="W246" s="647"/>
      <c r="X246" s="647"/>
      <c r="Y246" s="647"/>
      <c r="Z246" s="647"/>
      <c r="AA246" s="647"/>
      <c r="AB246" s="647"/>
      <c r="AC246" s="647"/>
    </row>
    <row r="247" spans="1:29" ht="36" customHeight="1">
      <c r="A247" s="659"/>
      <c r="B247" s="683"/>
      <c r="C247" s="681"/>
      <c r="D247" s="647"/>
      <c r="E247" s="647"/>
      <c r="F247" s="647"/>
      <c r="G247" s="647"/>
      <c r="H247" s="647"/>
      <c r="I247" s="647"/>
      <c r="J247" s="647"/>
      <c r="K247" s="647"/>
      <c r="L247" s="647"/>
      <c r="M247" s="647"/>
      <c r="N247" s="647"/>
      <c r="O247" s="647"/>
      <c r="P247" s="647"/>
      <c r="Q247" s="647"/>
      <c r="R247" s="647"/>
      <c r="S247" s="647"/>
      <c r="T247" s="647"/>
      <c r="U247" s="647"/>
      <c r="V247" s="647"/>
      <c r="W247" s="647"/>
      <c r="X247" s="647"/>
      <c r="Y247" s="647"/>
      <c r="Z247" s="647"/>
      <c r="AA247" s="647"/>
      <c r="AB247" s="647"/>
      <c r="AC247" s="647"/>
    </row>
    <row r="248" spans="1:29" ht="36" customHeight="1">
      <c r="A248" s="659"/>
      <c r="B248" s="654"/>
      <c r="C248" s="655"/>
      <c r="D248" s="647"/>
      <c r="E248" s="647"/>
      <c r="F248" s="647"/>
      <c r="G248" s="647"/>
      <c r="H248" s="647"/>
      <c r="I248" s="647"/>
      <c r="J248" s="647"/>
      <c r="K248" s="647"/>
      <c r="L248" s="647"/>
      <c r="M248" s="647"/>
      <c r="N248" s="647"/>
      <c r="O248" s="647"/>
      <c r="P248" s="647"/>
      <c r="Q248" s="647"/>
      <c r="R248" s="647"/>
      <c r="S248" s="647"/>
      <c r="T248" s="647"/>
      <c r="U248" s="647"/>
      <c r="V248" s="647"/>
      <c r="W248" s="647"/>
      <c r="X248" s="647"/>
      <c r="Y248" s="647"/>
      <c r="Z248" s="647"/>
      <c r="AA248" s="647"/>
      <c r="AB248" s="647"/>
      <c r="AC248" s="647"/>
    </row>
    <row r="249" spans="1:29" ht="36" customHeight="1">
      <c r="A249" s="659"/>
      <c r="B249" s="680"/>
      <c r="C249" s="681"/>
      <c r="D249" s="647"/>
      <c r="E249" s="647"/>
      <c r="F249" s="647"/>
      <c r="G249" s="647"/>
      <c r="H249" s="647"/>
      <c r="I249" s="647"/>
      <c r="J249" s="647"/>
      <c r="K249" s="647"/>
      <c r="L249" s="647"/>
      <c r="M249" s="647"/>
      <c r="N249" s="647"/>
      <c r="O249" s="647"/>
      <c r="P249" s="647"/>
      <c r="Q249" s="647"/>
      <c r="R249" s="647"/>
      <c r="S249" s="647"/>
      <c r="T249" s="647"/>
      <c r="U249" s="647"/>
      <c r="V249" s="647"/>
      <c r="W249" s="647"/>
      <c r="X249" s="647"/>
      <c r="Y249" s="647"/>
      <c r="Z249" s="647"/>
      <c r="AA249" s="647"/>
      <c r="AB249" s="647"/>
      <c r="AC249" s="647"/>
    </row>
    <row r="250" spans="1:29" ht="36" customHeight="1">
      <c r="A250" s="659"/>
      <c r="B250" s="680"/>
      <c r="C250" s="681"/>
      <c r="D250" s="647"/>
      <c r="E250" s="647"/>
      <c r="F250" s="647"/>
      <c r="G250" s="647"/>
      <c r="H250" s="647"/>
      <c r="I250" s="647"/>
      <c r="J250" s="647"/>
      <c r="K250" s="647"/>
      <c r="L250" s="647"/>
      <c r="M250" s="647"/>
      <c r="N250" s="647"/>
      <c r="O250" s="647"/>
      <c r="P250" s="647"/>
      <c r="Q250" s="647"/>
      <c r="R250" s="647"/>
      <c r="S250" s="647"/>
      <c r="T250" s="647"/>
      <c r="U250" s="647"/>
      <c r="V250" s="647"/>
      <c r="W250" s="647"/>
      <c r="X250" s="647"/>
      <c r="Y250" s="647"/>
      <c r="Z250" s="647"/>
      <c r="AA250" s="647"/>
      <c r="AB250" s="647"/>
      <c r="AC250" s="647"/>
    </row>
    <row r="251" spans="1:29" ht="36" customHeight="1">
      <c r="A251" s="659"/>
      <c r="B251" s="680"/>
      <c r="C251" s="681"/>
      <c r="D251" s="647"/>
      <c r="E251" s="647"/>
      <c r="F251" s="647"/>
      <c r="G251" s="647"/>
      <c r="H251" s="647"/>
      <c r="I251" s="647"/>
      <c r="J251" s="647"/>
      <c r="K251" s="647"/>
      <c r="L251" s="647"/>
      <c r="M251" s="647"/>
      <c r="N251" s="647"/>
      <c r="O251" s="647"/>
      <c r="P251" s="647"/>
      <c r="Q251" s="647"/>
      <c r="R251" s="647"/>
      <c r="S251" s="647"/>
      <c r="T251" s="647"/>
      <c r="U251" s="647"/>
      <c r="V251" s="647"/>
      <c r="W251" s="647"/>
      <c r="X251" s="647"/>
      <c r="Y251" s="647"/>
      <c r="Z251" s="647"/>
      <c r="AA251" s="647"/>
      <c r="AB251" s="647"/>
      <c r="AC251" s="647"/>
    </row>
    <row r="252" spans="1:29" ht="36" customHeight="1">
      <c r="A252" s="659"/>
      <c r="B252" s="680"/>
      <c r="C252" s="681"/>
      <c r="D252" s="647"/>
      <c r="E252" s="647"/>
      <c r="F252" s="647"/>
      <c r="G252" s="647"/>
      <c r="H252" s="647"/>
      <c r="I252" s="647"/>
      <c r="J252" s="647"/>
      <c r="K252" s="647"/>
      <c r="L252" s="647"/>
      <c r="M252" s="647"/>
      <c r="N252" s="647"/>
      <c r="O252" s="647"/>
      <c r="P252" s="647"/>
      <c r="Q252" s="647"/>
      <c r="R252" s="647"/>
      <c r="S252" s="647"/>
      <c r="T252" s="647"/>
      <c r="U252" s="647"/>
      <c r="V252" s="647"/>
      <c r="W252" s="647"/>
      <c r="X252" s="647"/>
      <c r="Y252" s="647"/>
      <c r="Z252" s="647"/>
      <c r="AA252" s="647"/>
      <c r="AB252" s="647"/>
      <c r="AC252" s="647"/>
    </row>
    <row r="253" spans="1:29" ht="36" customHeight="1">
      <c r="A253" s="659"/>
      <c r="B253" s="680"/>
      <c r="C253" s="681"/>
      <c r="D253" s="647"/>
      <c r="E253" s="647"/>
      <c r="F253" s="647"/>
      <c r="G253" s="647"/>
      <c r="H253" s="647"/>
      <c r="I253" s="647"/>
      <c r="J253" s="647"/>
      <c r="K253" s="647"/>
      <c r="L253" s="647"/>
      <c r="M253" s="647"/>
      <c r="N253" s="647"/>
      <c r="O253" s="647"/>
      <c r="P253" s="647"/>
      <c r="Q253" s="647"/>
      <c r="R253" s="647"/>
      <c r="S253" s="647"/>
      <c r="T253" s="647"/>
      <c r="U253" s="647"/>
      <c r="V253" s="647"/>
      <c r="W253" s="647"/>
      <c r="X253" s="647"/>
      <c r="Y253" s="647"/>
      <c r="Z253" s="647"/>
      <c r="AA253" s="647"/>
      <c r="AB253" s="647"/>
      <c r="AC253" s="647"/>
    </row>
    <row r="254" spans="1:29" ht="36" customHeight="1">
      <c r="A254" s="659"/>
      <c r="B254" s="680"/>
      <c r="C254" s="681"/>
      <c r="D254" s="647"/>
      <c r="E254" s="647"/>
      <c r="F254" s="647"/>
      <c r="G254" s="647"/>
      <c r="H254" s="647"/>
      <c r="I254" s="647"/>
      <c r="J254" s="647"/>
      <c r="K254" s="647"/>
      <c r="L254" s="647"/>
      <c r="M254" s="647"/>
      <c r="N254" s="647"/>
      <c r="O254" s="647"/>
      <c r="P254" s="647"/>
      <c r="Q254" s="647"/>
      <c r="R254" s="647"/>
      <c r="S254" s="647"/>
      <c r="T254" s="647"/>
      <c r="U254" s="647"/>
      <c r="V254" s="647"/>
      <c r="W254" s="647"/>
      <c r="X254" s="647"/>
      <c r="Y254" s="647"/>
      <c r="Z254" s="647"/>
      <c r="AA254" s="647"/>
      <c r="AB254" s="647"/>
      <c r="AC254" s="647"/>
    </row>
    <row r="255" spans="1:29" ht="36" customHeight="1">
      <c r="A255" s="659"/>
      <c r="B255" s="680"/>
      <c r="C255" s="681"/>
      <c r="D255" s="647"/>
      <c r="E255" s="647"/>
      <c r="F255" s="647"/>
      <c r="G255" s="647"/>
      <c r="H255" s="647"/>
      <c r="I255" s="647"/>
      <c r="J255" s="647"/>
      <c r="K255" s="647"/>
      <c r="L255" s="647"/>
      <c r="M255" s="647"/>
      <c r="N255" s="647"/>
      <c r="O255" s="647"/>
      <c r="P255" s="647"/>
      <c r="Q255" s="647"/>
      <c r="R255" s="647"/>
      <c r="S255" s="647"/>
      <c r="T255" s="647"/>
      <c r="U255" s="647"/>
      <c r="V255" s="647"/>
      <c r="W255" s="647"/>
      <c r="X255" s="647"/>
      <c r="Y255" s="647"/>
      <c r="Z255" s="647"/>
      <c r="AA255" s="647"/>
      <c r="AB255" s="647"/>
      <c r="AC255" s="647"/>
    </row>
    <row r="256" spans="1:29" ht="36" customHeight="1">
      <c r="A256" s="659"/>
      <c r="B256" s="680"/>
      <c r="C256" s="681"/>
      <c r="D256" s="647"/>
      <c r="E256" s="647"/>
      <c r="F256" s="647"/>
      <c r="G256" s="647"/>
      <c r="H256" s="647"/>
      <c r="I256" s="647"/>
      <c r="J256" s="647"/>
      <c r="K256" s="647"/>
      <c r="L256" s="647"/>
      <c r="M256" s="647"/>
      <c r="N256" s="647"/>
      <c r="O256" s="647"/>
      <c r="P256" s="647"/>
      <c r="Q256" s="647"/>
      <c r="R256" s="647"/>
      <c r="S256" s="647"/>
      <c r="T256" s="647"/>
      <c r="U256" s="647"/>
      <c r="V256" s="647"/>
      <c r="W256" s="647"/>
      <c r="X256" s="647"/>
      <c r="Y256" s="647"/>
      <c r="Z256" s="647"/>
      <c r="AA256" s="647"/>
      <c r="AB256" s="647"/>
      <c r="AC256" s="647"/>
    </row>
    <row r="257" spans="1:29" ht="36" customHeight="1">
      <c r="A257" s="659"/>
      <c r="B257" s="680"/>
      <c r="C257" s="681"/>
      <c r="D257" s="647"/>
      <c r="E257" s="647"/>
      <c r="F257" s="647"/>
      <c r="G257" s="647"/>
      <c r="H257" s="647"/>
      <c r="I257" s="647"/>
      <c r="J257" s="647"/>
      <c r="K257" s="647"/>
      <c r="L257" s="647"/>
      <c r="M257" s="647"/>
      <c r="N257" s="647"/>
      <c r="O257" s="647"/>
      <c r="P257" s="647"/>
      <c r="Q257" s="647"/>
      <c r="R257" s="647"/>
      <c r="S257" s="647"/>
      <c r="T257" s="647"/>
      <c r="U257" s="647"/>
      <c r="V257" s="647"/>
      <c r="W257" s="647"/>
      <c r="X257" s="647"/>
      <c r="Y257" s="647"/>
      <c r="Z257" s="647"/>
      <c r="AA257" s="647"/>
      <c r="AB257" s="647"/>
      <c r="AC257" s="647"/>
    </row>
    <row r="258" spans="1:29" ht="36" customHeight="1">
      <c r="A258" s="659"/>
      <c r="B258" s="680"/>
      <c r="C258" s="681"/>
      <c r="D258" s="647"/>
      <c r="E258" s="647"/>
      <c r="F258" s="647"/>
      <c r="G258" s="647"/>
      <c r="H258" s="647"/>
      <c r="I258" s="647"/>
      <c r="J258" s="647"/>
      <c r="K258" s="647"/>
      <c r="L258" s="647"/>
      <c r="M258" s="647"/>
      <c r="N258" s="647"/>
      <c r="O258" s="647"/>
      <c r="P258" s="647"/>
      <c r="Q258" s="647"/>
      <c r="R258" s="647"/>
      <c r="S258" s="647"/>
      <c r="T258" s="647"/>
      <c r="U258" s="647"/>
      <c r="V258" s="647"/>
      <c r="W258" s="647"/>
      <c r="X258" s="647"/>
      <c r="Y258" s="647"/>
      <c r="Z258" s="647"/>
      <c r="AA258" s="647"/>
      <c r="AB258" s="647"/>
      <c r="AC258" s="647"/>
    </row>
    <row r="259" spans="1:29" ht="36" customHeight="1">
      <c r="A259" s="659"/>
      <c r="B259" s="680"/>
      <c r="C259" s="681"/>
      <c r="D259" s="647"/>
      <c r="E259" s="647"/>
      <c r="F259" s="647"/>
      <c r="G259" s="647"/>
      <c r="H259" s="647"/>
      <c r="I259" s="647"/>
      <c r="J259" s="647"/>
      <c r="K259" s="647"/>
      <c r="L259" s="647"/>
      <c r="M259" s="647"/>
      <c r="N259" s="647"/>
      <c r="O259" s="647"/>
      <c r="P259" s="647"/>
      <c r="Q259" s="647"/>
      <c r="R259" s="647"/>
      <c r="S259" s="647"/>
      <c r="T259" s="647"/>
      <c r="U259" s="647"/>
      <c r="V259" s="647"/>
      <c r="W259" s="647"/>
      <c r="X259" s="647"/>
      <c r="Y259" s="647"/>
      <c r="Z259" s="647"/>
      <c r="AA259" s="647"/>
      <c r="AB259" s="647"/>
      <c r="AC259" s="647"/>
    </row>
    <row r="260" spans="1:29" ht="36" customHeight="1">
      <c r="A260" s="659"/>
      <c r="B260" s="680"/>
      <c r="C260" s="681"/>
      <c r="D260" s="647"/>
      <c r="E260" s="647"/>
      <c r="F260" s="647"/>
      <c r="G260" s="647"/>
      <c r="H260" s="647"/>
      <c r="I260" s="647"/>
      <c r="J260" s="647"/>
      <c r="K260" s="647"/>
      <c r="L260" s="647"/>
      <c r="M260" s="647"/>
      <c r="N260" s="647"/>
      <c r="O260" s="647"/>
      <c r="P260" s="647"/>
      <c r="Q260" s="647"/>
      <c r="R260" s="647"/>
      <c r="S260" s="647"/>
      <c r="T260" s="647"/>
      <c r="U260" s="647"/>
      <c r="V260" s="647"/>
      <c r="W260" s="647"/>
      <c r="X260" s="647"/>
      <c r="Y260" s="647"/>
      <c r="Z260" s="647"/>
      <c r="AA260" s="647"/>
      <c r="AB260" s="647"/>
      <c r="AC260" s="647"/>
    </row>
    <row r="261" spans="1:29" ht="36" customHeight="1">
      <c r="A261" s="659"/>
      <c r="B261" s="680"/>
      <c r="C261" s="681"/>
      <c r="D261" s="647"/>
      <c r="E261" s="647"/>
      <c r="F261" s="647"/>
      <c r="G261" s="647"/>
      <c r="H261" s="647"/>
      <c r="I261" s="647"/>
      <c r="J261" s="647"/>
      <c r="K261" s="647"/>
      <c r="L261" s="647"/>
      <c r="M261" s="647"/>
      <c r="N261" s="647"/>
      <c r="O261" s="647"/>
      <c r="P261" s="647"/>
      <c r="Q261" s="647"/>
      <c r="R261" s="647"/>
      <c r="S261" s="647"/>
      <c r="T261" s="647"/>
      <c r="U261" s="647"/>
      <c r="V261" s="647"/>
      <c r="W261" s="647"/>
      <c r="X261" s="647"/>
      <c r="Y261" s="647"/>
      <c r="Z261" s="647"/>
      <c r="AA261" s="647"/>
      <c r="AB261" s="647"/>
      <c r="AC261" s="647"/>
    </row>
    <row r="262" spans="1:29" ht="36" customHeight="1">
      <c r="A262" s="659"/>
      <c r="B262" s="680"/>
      <c r="C262" s="681"/>
      <c r="D262" s="647"/>
      <c r="E262" s="647"/>
      <c r="F262" s="647"/>
      <c r="G262" s="647"/>
      <c r="H262" s="647"/>
      <c r="I262" s="647"/>
      <c r="J262" s="647"/>
      <c r="K262" s="647"/>
      <c r="L262" s="647"/>
      <c r="M262" s="647"/>
      <c r="N262" s="647"/>
      <c r="O262" s="647"/>
      <c r="P262" s="647"/>
      <c r="Q262" s="647"/>
      <c r="R262" s="647"/>
      <c r="S262" s="647"/>
      <c r="T262" s="647"/>
      <c r="U262" s="647"/>
      <c r="V262" s="647"/>
      <c r="W262" s="647"/>
      <c r="X262" s="647"/>
      <c r="Y262" s="647"/>
      <c r="Z262" s="647"/>
      <c r="AA262" s="647"/>
      <c r="AB262" s="647"/>
      <c r="AC262" s="647"/>
    </row>
    <row r="263" spans="1:29" ht="36" customHeight="1">
      <c r="A263" s="659"/>
      <c r="B263" s="680"/>
      <c r="C263" s="681"/>
      <c r="D263" s="647"/>
      <c r="E263" s="647"/>
      <c r="F263" s="647"/>
      <c r="G263" s="647"/>
      <c r="H263" s="647"/>
      <c r="I263" s="647"/>
      <c r="J263" s="647"/>
      <c r="K263" s="647"/>
      <c r="L263" s="647"/>
      <c r="M263" s="647"/>
      <c r="N263" s="647"/>
      <c r="O263" s="647"/>
      <c r="P263" s="647"/>
      <c r="Q263" s="647"/>
      <c r="R263" s="647"/>
      <c r="S263" s="647"/>
      <c r="T263" s="647"/>
      <c r="U263" s="647"/>
      <c r="V263" s="647"/>
      <c r="W263" s="647"/>
      <c r="X263" s="647"/>
      <c r="Y263" s="647"/>
      <c r="Z263" s="647"/>
      <c r="AA263" s="647"/>
      <c r="AB263" s="647"/>
      <c r="AC263" s="647"/>
    </row>
    <row r="264" spans="1:29" ht="36" customHeight="1">
      <c r="A264" s="659"/>
      <c r="B264" s="680"/>
      <c r="C264" s="681"/>
      <c r="D264" s="647"/>
      <c r="E264" s="647"/>
      <c r="F264" s="647"/>
      <c r="G264" s="647"/>
      <c r="H264" s="647"/>
      <c r="I264" s="647"/>
      <c r="J264" s="647"/>
      <c r="K264" s="647"/>
      <c r="L264" s="647"/>
      <c r="M264" s="647"/>
      <c r="N264" s="647"/>
      <c r="O264" s="647"/>
      <c r="P264" s="647"/>
      <c r="Q264" s="647"/>
      <c r="R264" s="647"/>
      <c r="S264" s="647"/>
      <c r="T264" s="647"/>
      <c r="U264" s="647"/>
      <c r="V264" s="647"/>
      <c r="W264" s="647"/>
      <c r="X264" s="647"/>
      <c r="Y264" s="647"/>
      <c r="Z264" s="647"/>
      <c r="AA264" s="647"/>
      <c r="AB264" s="647"/>
      <c r="AC264" s="647"/>
    </row>
    <row r="265" spans="1:29" ht="36" customHeight="1">
      <c r="A265" s="659"/>
      <c r="B265" s="680"/>
      <c r="C265" s="681"/>
      <c r="D265" s="647"/>
      <c r="E265" s="647"/>
      <c r="F265" s="647"/>
      <c r="G265" s="647"/>
      <c r="H265" s="647"/>
      <c r="I265" s="647"/>
      <c r="J265" s="647"/>
      <c r="K265" s="647"/>
      <c r="L265" s="647"/>
      <c r="M265" s="647"/>
      <c r="N265" s="647"/>
      <c r="O265" s="647"/>
      <c r="P265" s="647"/>
      <c r="Q265" s="647"/>
      <c r="R265" s="647"/>
      <c r="S265" s="647"/>
      <c r="T265" s="647"/>
      <c r="U265" s="647"/>
      <c r="V265" s="647"/>
      <c r="W265" s="647"/>
      <c r="X265" s="647"/>
      <c r="Y265" s="647"/>
      <c r="Z265" s="647"/>
      <c r="AA265" s="647"/>
      <c r="AB265" s="647"/>
      <c r="AC265" s="647"/>
    </row>
    <row r="266" spans="1:29" ht="36" customHeight="1">
      <c r="A266" s="659"/>
      <c r="B266" s="680"/>
      <c r="C266" s="681"/>
      <c r="D266" s="647"/>
      <c r="E266" s="647"/>
      <c r="F266" s="647"/>
      <c r="G266" s="647"/>
      <c r="H266" s="647"/>
      <c r="I266" s="647"/>
      <c r="J266" s="647"/>
      <c r="K266" s="647"/>
      <c r="L266" s="647"/>
      <c r="M266" s="647"/>
      <c r="N266" s="647"/>
      <c r="O266" s="647"/>
      <c r="P266" s="647"/>
      <c r="Q266" s="647"/>
      <c r="R266" s="647"/>
      <c r="S266" s="647"/>
      <c r="T266" s="647"/>
      <c r="U266" s="647"/>
      <c r="V266" s="647"/>
      <c r="W266" s="647"/>
      <c r="X266" s="647"/>
      <c r="Y266" s="647"/>
      <c r="Z266" s="647"/>
      <c r="AA266" s="647"/>
      <c r="AB266" s="647"/>
      <c r="AC266" s="647"/>
    </row>
    <row r="267" spans="1:29" ht="36" customHeight="1">
      <c r="A267" s="659"/>
      <c r="B267" s="680"/>
      <c r="C267" s="681"/>
      <c r="D267" s="647"/>
      <c r="E267" s="647"/>
      <c r="F267" s="647"/>
      <c r="G267" s="647"/>
      <c r="H267" s="647"/>
      <c r="I267" s="647"/>
      <c r="J267" s="647"/>
      <c r="K267" s="647"/>
      <c r="L267" s="647"/>
      <c r="M267" s="647"/>
      <c r="N267" s="647"/>
      <c r="O267" s="647"/>
      <c r="P267" s="647"/>
      <c r="Q267" s="647"/>
      <c r="R267" s="647"/>
      <c r="S267" s="647"/>
      <c r="T267" s="647"/>
      <c r="U267" s="647"/>
      <c r="V267" s="647"/>
      <c r="W267" s="647"/>
      <c r="X267" s="647"/>
      <c r="Y267" s="647"/>
      <c r="Z267" s="647"/>
      <c r="AA267" s="647"/>
      <c r="AB267" s="647"/>
      <c r="AC267" s="647"/>
    </row>
    <row r="268" spans="1:29" ht="36" customHeight="1">
      <c r="A268" s="659"/>
      <c r="B268" s="680"/>
      <c r="C268" s="681"/>
      <c r="D268" s="647"/>
      <c r="E268" s="647"/>
      <c r="F268" s="647"/>
      <c r="G268" s="647"/>
      <c r="H268" s="647"/>
      <c r="I268" s="647"/>
      <c r="J268" s="647"/>
      <c r="K268" s="647"/>
      <c r="L268" s="647"/>
      <c r="M268" s="647"/>
      <c r="N268" s="647"/>
      <c r="O268" s="647"/>
      <c r="P268" s="647"/>
      <c r="Q268" s="647"/>
      <c r="R268" s="647"/>
      <c r="S268" s="647"/>
      <c r="T268" s="647"/>
      <c r="U268" s="647"/>
      <c r="V268" s="647"/>
      <c r="W268" s="647"/>
      <c r="X268" s="647"/>
      <c r="Y268" s="647"/>
      <c r="Z268" s="647"/>
      <c r="AA268" s="647"/>
      <c r="AB268" s="647"/>
      <c r="AC268" s="647"/>
    </row>
    <row r="269" spans="1:29" ht="36" customHeight="1">
      <c r="A269" s="659"/>
      <c r="B269" s="680"/>
      <c r="C269" s="681"/>
      <c r="D269" s="647"/>
      <c r="E269" s="647"/>
      <c r="F269" s="647"/>
      <c r="G269" s="647"/>
      <c r="H269" s="647"/>
      <c r="I269" s="647"/>
      <c r="J269" s="647"/>
      <c r="K269" s="647"/>
      <c r="L269" s="647"/>
      <c r="M269" s="647"/>
      <c r="N269" s="647"/>
      <c r="O269" s="647"/>
      <c r="P269" s="647"/>
      <c r="Q269" s="647"/>
      <c r="R269" s="647"/>
      <c r="S269" s="647"/>
      <c r="T269" s="647"/>
      <c r="U269" s="647"/>
      <c r="V269" s="647"/>
      <c r="W269" s="647"/>
      <c r="X269" s="647"/>
      <c r="Y269" s="647"/>
      <c r="Z269" s="647"/>
      <c r="AA269" s="647"/>
      <c r="AB269" s="647"/>
      <c r="AC269" s="647"/>
    </row>
    <row r="270" spans="1:29" ht="36" customHeight="1">
      <c r="A270" s="659"/>
      <c r="B270" s="680"/>
      <c r="C270" s="681"/>
      <c r="D270" s="647"/>
      <c r="E270" s="647"/>
      <c r="F270" s="647"/>
      <c r="G270" s="647"/>
      <c r="H270" s="647"/>
      <c r="I270" s="647"/>
      <c r="J270" s="647"/>
      <c r="K270" s="647"/>
      <c r="L270" s="647"/>
      <c r="M270" s="647"/>
      <c r="N270" s="647"/>
      <c r="O270" s="647"/>
      <c r="P270" s="647"/>
      <c r="Q270" s="647"/>
      <c r="R270" s="647"/>
      <c r="S270" s="647"/>
      <c r="T270" s="647"/>
      <c r="U270" s="647"/>
      <c r="V270" s="647"/>
      <c r="W270" s="647"/>
      <c r="X270" s="647"/>
      <c r="Y270" s="647"/>
      <c r="Z270" s="647"/>
      <c r="AA270" s="647"/>
      <c r="AB270" s="647"/>
      <c r="AC270" s="647"/>
    </row>
    <row r="271" spans="1:29" ht="36" customHeight="1">
      <c r="A271" s="659"/>
      <c r="B271" s="680"/>
      <c r="C271" s="681"/>
      <c r="D271" s="647"/>
      <c r="E271" s="647"/>
      <c r="F271" s="647"/>
      <c r="G271" s="647"/>
      <c r="H271" s="647"/>
      <c r="I271" s="647"/>
      <c r="J271" s="647"/>
      <c r="K271" s="647"/>
      <c r="L271" s="647"/>
      <c r="M271" s="647"/>
      <c r="N271" s="647"/>
      <c r="O271" s="647"/>
      <c r="P271" s="647"/>
      <c r="Q271" s="647"/>
      <c r="R271" s="647"/>
      <c r="S271" s="647"/>
      <c r="T271" s="647"/>
      <c r="U271" s="647"/>
      <c r="V271" s="647"/>
      <c r="W271" s="647"/>
      <c r="X271" s="647"/>
      <c r="Y271" s="647"/>
      <c r="Z271" s="647"/>
      <c r="AA271" s="647"/>
      <c r="AB271" s="647"/>
      <c r="AC271" s="647"/>
    </row>
    <row r="272" spans="1:29" ht="36" customHeight="1">
      <c r="A272" s="659"/>
      <c r="B272" s="680"/>
      <c r="C272" s="681"/>
      <c r="D272" s="647"/>
      <c r="E272" s="647"/>
      <c r="F272" s="647"/>
      <c r="G272" s="647"/>
      <c r="H272" s="647"/>
      <c r="I272" s="647"/>
      <c r="J272" s="647"/>
      <c r="K272" s="647"/>
      <c r="L272" s="647"/>
      <c r="M272" s="647"/>
      <c r="N272" s="647"/>
      <c r="O272" s="647"/>
      <c r="P272" s="647"/>
      <c r="Q272" s="647"/>
      <c r="R272" s="647"/>
      <c r="S272" s="647"/>
      <c r="T272" s="647"/>
      <c r="U272" s="647"/>
      <c r="V272" s="647"/>
      <c r="W272" s="647"/>
      <c r="X272" s="647"/>
      <c r="Y272" s="647"/>
      <c r="Z272" s="647"/>
      <c r="AA272" s="647"/>
      <c r="AB272" s="647"/>
      <c r="AC272" s="647"/>
    </row>
    <row r="273" spans="1:29" ht="36" customHeight="1">
      <c r="A273" s="659"/>
      <c r="B273" s="680"/>
      <c r="C273" s="681"/>
      <c r="D273" s="647"/>
      <c r="E273" s="647"/>
      <c r="F273" s="647"/>
      <c r="G273" s="647"/>
      <c r="H273" s="647"/>
      <c r="I273" s="647"/>
      <c r="J273" s="647"/>
      <c r="K273" s="647"/>
      <c r="L273" s="647"/>
      <c r="M273" s="647"/>
      <c r="N273" s="647"/>
      <c r="O273" s="647"/>
      <c r="P273" s="647"/>
      <c r="Q273" s="647"/>
      <c r="R273" s="647"/>
      <c r="S273" s="647"/>
      <c r="T273" s="647"/>
      <c r="U273" s="647"/>
      <c r="V273" s="647"/>
      <c r="W273" s="647"/>
      <c r="X273" s="647"/>
      <c r="Y273" s="647"/>
      <c r="Z273" s="647"/>
      <c r="AA273" s="647"/>
      <c r="AB273" s="647"/>
      <c r="AC273" s="647"/>
    </row>
    <row r="274" spans="1:29" ht="36" customHeight="1">
      <c r="A274" s="659"/>
      <c r="B274" s="680"/>
      <c r="C274" s="681"/>
      <c r="D274" s="647"/>
      <c r="E274" s="647"/>
      <c r="F274" s="647"/>
      <c r="G274" s="647"/>
      <c r="H274" s="647"/>
      <c r="I274" s="647"/>
      <c r="J274" s="647"/>
      <c r="K274" s="647"/>
      <c r="L274" s="647"/>
      <c r="M274" s="647"/>
      <c r="N274" s="647"/>
      <c r="O274" s="647"/>
      <c r="P274" s="647"/>
      <c r="Q274" s="647"/>
      <c r="R274" s="647"/>
      <c r="S274" s="647"/>
      <c r="T274" s="647"/>
      <c r="U274" s="647"/>
      <c r="V274" s="647"/>
      <c r="W274" s="647"/>
      <c r="X274" s="647"/>
      <c r="Y274" s="647"/>
      <c r="Z274" s="647"/>
      <c r="AA274" s="647"/>
      <c r="AB274" s="647"/>
      <c r="AC274" s="647"/>
    </row>
    <row r="275" spans="1:29" ht="36" customHeight="1">
      <c r="A275" s="659"/>
      <c r="B275" s="680"/>
      <c r="C275" s="681"/>
      <c r="D275" s="647"/>
      <c r="E275" s="647"/>
      <c r="F275" s="647"/>
      <c r="G275" s="647"/>
      <c r="H275" s="647"/>
      <c r="I275" s="647"/>
      <c r="J275" s="647"/>
      <c r="K275" s="647"/>
      <c r="L275" s="647"/>
      <c r="M275" s="647"/>
      <c r="N275" s="647"/>
      <c r="O275" s="647"/>
      <c r="P275" s="647"/>
      <c r="Q275" s="647"/>
      <c r="R275" s="647"/>
      <c r="S275" s="647"/>
      <c r="T275" s="647"/>
      <c r="U275" s="647"/>
      <c r="V275" s="647"/>
      <c r="W275" s="647"/>
      <c r="X275" s="647"/>
      <c r="Y275" s="647"/>
      <c r="Z275" s="647"/>
      <c r="AA275" s="647"/>
      <c r="AB275" s="647"/>
      <c r="AC275" s="647"/>
    </row>
    <row r="276" spans="1:29" ht="36" customHeight="1">
      <c r="A276" s="659"/>
      <c r="B276" s="680"/>
      <c r="C276" s="681"/>
      <c r="D276" s="647"/>
      <c r="E276" s="647"/>
      <c r="F276" s="647"/>
      <c r="G276" s="647"/>
      <c r="H276" s="647"/>
      <c r="I276" s="647"/>
      <c r="J276" s="647"/>
      <c r="K276" s="647"/>
      <c r="L276" s="647"/>
      <c r="M276" s="647"/>
      <c r="N276" s="647"/>
      <c r="O276" s="647"/>
      <c r="P276" s="647"/>
      <c r="Q276" s="647"/>
      <c r="R276" s="647"/>
      <c r="S276" s="647"/>
      <c r="T276" s="647"/>
      <c r="U276" s="647"/>
      <c r="V276" s="647"/>
      <c r="W276" s="647"/>
      <c r="X276" s="647"/>
      <c r="Y276" s="647"/>
      <c r="Z276" s="647"/>
      <c r="AA276" s="647"/>
      <c r="AB276" s="647"/>
      <c r="AC276" s="647"/>
    </row>
    <row r="277" spans="1:29" ht="36" customHeight="1">
      <c r="A277" s="659"/>
      <c r="B277" s="680"/>
      <c r="C277" s="681"/>
      <c r="D277" s="647"/>
      <c r="E277" s="647"/>
      <c r="F277" s="647"/>
      <c r="G277" s="647"/>
      <c r="H277" s="647"/>
      <c r="I277" s="647"/>
      <c r="J277" s="647"/>
      <c r="K277" s="647"/>
      <c r="L277" s="647"/>
      <c r="M277" s="647"/>
      <c r="N277" s="647"/>
      <c r="O277" s="647"/>
      <c r="P277" s="647"/>
      <c r="Q277" s="647"/>
      <c r="R277" s="647"/>
      <c r="S277" s="647"/>
      <c r="T277" s="647"/>
      <c r="U277" s="647"/>
      <c r="V277" s="647"/>
      <c r="W277" s="647"/>
      <c r="X277" s="647"/>
      <c r="Y277" s="647"/>
      <c r="Z277" s="647"/>
      <c r="AA277" s="647"/>
      <c r="AB277" s="647"/>
      <c r="AC277" s="647"/>
    </row>
    <row r="278" spans="1:29" ht="36" customHeight="1">
      <c r="A278" s="659"/>
      <c r="B278" s="680"/>
      <c r="C278" s="681"/>
      <c r="D278" s="647"/>
      <c r="E278" s="647"/>
      <c r="F278" s="647"/>
      <c r="G278" s="647"/>
      <c r="H278" s="647"/>
      <c r="I278" s="647"/>
      <c r="J278" s="647"/>
      <c r="K278" s="647"/>
      <c r="L278" s="647"/>
      <c r="M278" s="647"/>
      <c r="N278" s="647"/>
      <c r="O278" s="647"/>
      <c r="P278" s="647"/>
      <c r="Q278" s="647"/>
      <c r="R278" s="647"/>
      <c r="S278" s="647"/>
      <c r="T278" s="647"/>
      <c r="U278" s="647"/>
      <c r="V278" s="647"/>
      <c r="W278" s="647"/>
      <c r="X278" s="647"/>
      <c r="Y278" s="647"/>
      <c r="Z278" s="647"/>
      <c r="AA278" s="647"/>
      <c r="AB278" s="647"/>
      <c r="AC278" s="647"/>
    </row>
    <row r="279" spans="1:29" ht="36" customHeight="1">
      <c r="A279" s="659"/>
      <c r="B279" s="680"/>
      <c r="C279" s="681"/>
      <c r="D279" s="647"/>
      <c r="E279" s="647"/>
      <c r="F279" s="647"/>
      <c r="G279" s="647"/>
      <c r="H279" s="647"/>
      <c r="I279" s="647"/>
      <c r="J279" s="647"/>
      <c r="K279" s="647"/>
      <c r="L279" s="647"/>
      <c r="M279" s="647"/>
      <c r="N279" s="647"/>
      <c r="O279" s="647"/>
      <c r="P279" s="647"/>
      <c r="Q279" s="647"/>
      <c r="R279" s="647"/>
      <c r="S279" s="647"/>
      <c r="T279" s="647"/>
      <c r="U279" s="647"/>
      <c r="V279" s="647"/>
      <c r="W279" s="647"/>
      <c r="X279" s="647"/>
      <c r="Y279" s="647"/>
      <c r="Z279" s="647"/>
      <c r="AA279" s="647"/>
      <c r="AB279" s="647"/>
      <c r="AC279" s="647"/>
    </row>
    <row r="280" spans="1:29" ht="36" customHeight="1">
      <c r="A280" s="659"/>
      <c r="B280" s="680"/>
      <c r="C280" s="681"/>
      <c r="D280" s="647"/>
      <c r="E280" s="647"/>
      <c r="F280" s="647"/>
      <c r="G280" s="647"/>
      <c r="H280" s="647"/>
      <c r="I280" s="647"/>
      <c r="J280" s="647"/>
      <c r="K280" s="647"/>
      <c r="L280" s="647"/>
      <c r="M280" s="647"/>
      <c r="N280" s="647"/>
      <c r="O280" s="647"/>
      <c r="P280" s="647"/>
      <c r="Q280" s="647"/>
      <c r="R280" s="647"/>
      <c r="S280" s="647"/>
      <c r="T280" s="647"/>
      <c r="U280" s="647"/>
      <c r="V280" s="647"/>
      <c r="W280" s="647"/>
      <c r="X280" s="647"/>
      <c r="Y280" s="647"/>
      <c r="Z280" s="647"/>
      <c r="AA280" s="647"/>
      <c r="AB280" s="647"/>
      <c r="AC280" s="647"/>
    </row>
    <row r="281" spans="1:29" ht="36" customHeight="1">
      <c r="A281" s="659"/>
      <c r="B281" s="680"/>
      <c r="C281" s="681"/>
      <c r="D281" s="647"/>
      <c r="E281" s="647"/>
      <c r="F281" s="647"/>
      <c r="G281" s="647"/>
      <c r="H281" s="647"/>
      <c r="I281" s="647"/>
      <c r="J281" s="647"/>
      <c r="K281" s="647"/>
      <c r="L281" s="647"/>
      <c r="M281" s="647"/>
      <c r="N281" s="647"/>
      <c r="O281" s="647"/>
      <c r="P281" s="647"/>
      <c r="Q281" s="647"/>
      <c r="R281" s="647"/>
      <c r="S281" s="647"/>
      <c r="T281" s="647"/>
      <c r="U281" s="647"/>
      <c r="V281" s="647"/>
      <c r="W281" s="647"/>
      <c r="X281" s="647"/>
      <c r="Y281" s="647"/>
      <c r="Z281" s="647"/>
      <c r="AA281" s="647"/>
      <c r="AB281" s="647"/>
      <c r="AC281" s="647"/>
    </row>
    <row r="282" spans="1:29" ht="36" customHeight="1">
      <c r="A282" s="659"/>
      <c r="B282" s="680"/>
      <c r="C282" s="681"/>
      <c r="D282" s="647"/>
      <c r="E282" s="647"/>
      <c r="F282" s="647"/>
      <c r="G282" s="647"/>
      <c r="H282" s="647"/>
      <c r="I282" s="647"/>
      <c r="J282" s="647"/>
      <c r="K282" s="647"/>
      <c r="L282" s="647"/>
      <c r="M282" s="647"/>
      <c r="N282" s="647"/>
      <c r="O282" s="647"/>
      <c r="P282" s="647"/>
      <c r="Q282" s="647"/>
      <c r="R282" s="647"/>
      <c r="S282" s="647"/>
      <c r="T282" s="647"/>
      <c r="U282" s="647"/>
      <c r="V282" s="647"/>
      <c r="W282" s="647"/>
      <c r="X282" s="647"/>
      <c r="Y282" s="647"/>
      <c r="Z282" s="647"/>
      <c r="AA282" s="647"/>
      <c r="AB282" s="647"/>
      <c r="AC282" s="647"/>
    </row>
    <row r="283" spans="1:29" ht="36" customHeight="1">
      <c r="A283" s="659"/>
      <c r="B283" s="680"/>
      <c r="C283" s="681"/>
      <c r="D283" s="647"/>
      <c r="E283" s="647"/>
      <c r="F283" s="647"/>
      <c r="G283" s="647"/>
      <c r="H283" s="647"/>
      <c r="I283" s="647"/>
      <c r="J283" s="647"/>
      <c r="K283" s="647"/>
      <c r="L283" s="647"/>
      <c r="M283" s="647"/>
      <c r="N283" s="647"/>
      <c r="O283" s="647"/>
      <c r="P283" s="647"/>
      <c r="Q283" s="647"/>
      <c r="R283" s="647"/>
      <c r="S283" s="647"/>
      <c r="T283" s="647"/>
      <c r="U283" s="647"/>
      <c r="V283" s="647"/>
      <c r="W283" s="647"/>
      <c r="X283" s="647"/>
      <c r="Y283" s="647"/>
      <c r="Z283" s="647"/>
      <c r="AA283" s="647"/>
      <c r="AB283" s="647"/>
      <c r="AC283" s="647"/>
    </row>
    <row r="284" spans="1:29" ht="36" customHeight="1">
      <c r="A284" s="659"/>
      <c r="B284" s="680"/>
      <c r="C284" s="681"/>
      <c r="D284" s="647"/>
      <c r="E284" s="647"/>
      <c r="F284" s="647"/>
      <c r="G284" s="647"/>
      <c r="H284" s="647"/>
      <c r="I284" s="647"/>
      <c r="J284" s="647"/>
      <c r="K284" s="647"/>
      <c r="L284" s="647"/>
      <c r="M284" s="647"/>
      <c r="N284" s="647"/>
      <c r="O284" s="647"/>
      <c r="P284" s="647"/>
      <c r="Q284" s="647"/>
      <c r="R284" s="647"/>
      <c r="S284" s="647"/>
      <c r="T284" s="647"/>
      <c r="U284" s="647"/>
      <c r="V284" s="647"/>
      <c r="W284" s="647"/>
      <c r="X284" s="647"/>
      <c r="Y284" s="647"/>
      <c r="Z284" s="647"/>
      <c r="AA284" s="647"/>
      <c r="AB284" s="647"/>
      <c r="AC284" s="647"/>
    </row>
    <row r="285" spans="1:29" ht="36" customHeight="1">
      <c r="A285" s="659"/>
      <c r="B285" s="680"/>
      <c r="C285" s="681"/>
      <c r="D285" s="647"/>
      <c r="E285" s="647"/>
      <c r="F285" s="647"/>
      <c r="G285" s="647"/>
      <c r="H285" s="647"/>
      <c r="I285" s="647"/>
      <c r="J285" s="647"/>
      <c r="K285" s="647"/>
      <c r="L285" s="647"/>
      <c r="M285" s="647"/>
      <c r="N285" s="647"/>
      <c r="O285" s="647"/>
      <c r="P285" s="647"/>
      <c r="Q285" s="647"/>
      <c r="R285" s="647"/>
      <c r="S285" s="647"/>
      <c r="T285" s="647"/>
      <c r="U285" s="647"/>
      <c r="V285" s="647"/>
      <c r="W285" s="647"/>
      <c r="X285" s="647"/>
      <c r="Y285" s="647"/>
      <c r="Z285" s="647"/>
      <c r="AA285" s="647"/>
      <c r="AB285" s="647"/>
      <c r="AC285" s="647"/>
    </row>
    <row r="286" spans="1:29" ht="36" customHeight="1">
      <c r="A286" s="659"/>
      <c r="B286" s="680"/>
      <c r="C286" s="681"/>
      <c r="D286" s="647"/>
      <c r="E286" s="647"/>
      <c r="F286" s="647"/>
      <c r="G286" s="647"/>
      <c r="H286" s="647"/>
      <c r="I286" s="647"/>
      <c r="J286" s="647"/>
      <c r="K286" s="647"/>
      <c r="L286" s="647"/>
      <c r="M286" s="647"/>
      <c r="N286" s="647"/>
      <c r="O286" s="647"/>
      <c r="P286" s="647"/>
      <c r="Q286" s="647"/>
      <c r="R286" s="647"/>
      <c r="S286" s="647"/>
      <c r="T286" s="647"/>
      <c r="U286" s="647"/>
      <c r="V286" s="647"/>
      <c r="W286" s="647"/>
      <c r="X286" s="647"/>
      <c r="Y286" s="647"/>
      <c r="Z286" s="647"/>
      <c r="AA286" s="647"/>
      <c r="AB286" s="647"/>
      <c r="AC286" s="647"/>
    </row>
    <row r="287" spans="1:29" ht="36" customHeight="1">
      <c r="A287" s="659"/>
      <c r="B287" s="680"/>
      <c r="C287" s="681"/>
      <c r="D287" s="647"/>
      <c r="E287" s="647"/>
      <c r="F287" s="647"/>
      <c r="G287" s="647"/>
      <c r="H287" s="647"/>
      <c r="I287" s="647"/>
      <c r="J287" s="647"/>
      <c r="K287" s="647"/>
      <c r="L287" s="647"/>
      <c r="M287" s="647"/>
      <c r="N287" s="647"/>
      <c r="O287" s="647"/>
      <c r="P287" s="647"/>
      <c r="Q287" s="647"/>
      <c r="R287" s="647"/>
      <c r="S287" s="647"/>
      <c r="T287" s="647"/>
      <c r="U287" s="647"/>
      <c r="V287" s="647"/>
      <c r="W287" s="647"/>
      <c r="X287" s="647"/>
      <c r="Y287" s="647"/>
      <c r="Z287" s="647"/>
      <c r="AA287" s="647"/>
      <c r="AB287" s="647"/>
      <c r="AC287" s="647"/>
    </row>
    <row r="288" spans="1:29" ht="36" customHeight="1">
      <c r="A288" s="659"/>
      <c r="B288" s="680"/>
      <c r="C288" s="681"/>
      <c r="D288" s="647"/>
      <c r="E288" s="647"/>
      <c r="F288" s="647"/>
      <c r="G288" s="647"/>
      <c r="H288" s="647"/>
      <c r="I288" s="647"/>
      <c r="J288" s="647"/>
      <c r="K288" s="647"/>
      <c r="L288" s="647"/>
      <c r="M288" s="647"/>
      <c r="N288" s="647"/>
      <c r="O288" s="647"/>
      <c r="P288" s="647"/>
      <c r="Q288" s="647"/>
      <c r="R288" s="647"/>
      <c r="S288" s="647"/>
      <c r="T288" s="647"/>
      <c r="U288" s="647"/>
      <c r="V288" s="647"/>
      <c r="W288" s="647"/>
      <c r="X288" s="647"/>
      <c r="Y288" s="647"/>
      <c r="Z288" s="647"/>
      <c r="AA288" s="647"/>
      <c r="AB288" s="647"/>
      <c r="AC288" s="647"/>
    </row>
    <row r="289" spans="1:29" ht="36" customHeight="1">
      <c r="A289" s="659"/>
      <c r="B289" s="680"/>
      <c r="C289" s="681"/>
      <c r="D289" s="647"/>
      <c r="E289" s="647"/>
      <c r="F289" s="647"/>
      <c r="G289" s="647"/>
      <c r="H289" s="647"/>
      <c r="I289" s="647"/>
      <c r="J289" s="647"/>
      <c r="K289" s="647"/>
      <c r="L289" s="647"/>
      <c r="M289" s="647"/>
      <c r="N289" s="647"/>
      <c r="O289" s="647"/>
      <c r="P289" s="647"/>
      <c r="Q289" s="647"/>
      <c r="R289" s="647"/>
      <c r="S289" s="647"/>
      <c r="T289" s="647"/>
      <c r="U289" s="647"/>
      <c r="V289" s="647"/>
      <c r="W289" s="647"/>
      <c r="X289" s="647"/>
      <c r="Y289" s="647"/>
      <c r="Z289" s="647"/>
      <c r="AA289" s="647"/>
      <c r="AB289" s="647"/>
      <c r="AC289" s="647"/>
    </row>
    <row r="290" spans="1:29" ht="36" customHeight="1">
      <c r="A290" s="659"/>
      <c r="B290" s="680"/>
      <c r="C290" s="681"/>
      <c r="D290" s="647"/>
      <c r="E290" s="647"/>
      <c r="F290" s="647"/>
      <c r="G290" s="647"/>
      <c r="H290" s="647"/>
      <c r="I290" s="647"/>
      <c r="J290" s="647"/>
      <c r="K290" s="647"/>
      <c r="L290" s="647"/>
      <c r="M290" s="647"/>
      <c r="N290" s="647"/>
      <c r="O290" s="647"/>
      <c r="P290" s="647"/>
      <c r="Q290" s="647"/>
      <c r="R290" s="647"/>
      <c r="S290" s="647"/>
      <c r="T290" s="647"/>
      <c r="U290" s="647"/>
      <c r="V290" s="647"/>
      <c r="W290" s="647"/>
      <c r="X290" s="647"/>
      <c r="Y290" s="647"/>
      <c r="Z290" s="647"/>
      <c r="AA290" s="647"/>
      <c r="AB290" s="647"/>
      <c r="AC290" s="647"/>
    </row>
    <row r="291" spans="1:29" ht="36" customHeight="1">
      <c r="A291" s="659"/>
      <c r="B291" s="680"/>
      <c r="C291" s="681"/>
      <c r="D291" s="647"/>
      <c r="E291" s="647"/>
      <c r="F291" s="647"/>
      <c r="G291" s="647"/>
      <c r="H291" s="647"/>
      <c r="I291" s="647"/>
      <c r="J291" s="647"/>
      <c r="K291" s="647"/>
      <c r="L291" s="647"/>
      <c r="M291" s="647"/>
      <c r="N291" s="647"/>
      <c r="O291" s="647"/>
      <c r="P291" s="647"/>
      <c r="Q291" s="647"/>
      <c r="R291" s="647"/>
      <c r="S291" s="647"/>
      <c r="T291" s="647"/>
      <c r="U291" s="647"/>
      <c r="V291" s="647"/>
      <c r="W291" s="647"/>
      <c r="X291" s="647"/>
      <c r="Y291" s="647"/>
      <c r="Z291" s="647"/>
      <c r="AA291" s="647"/>
      <c r="AB291" s="647"/>
      <c r="AC291" s="647"/>
    </row>
    <row r="292" spans="1:29" ht="36" customHeight="1">
      <c r="A292" s="659"/>
      <c r="B292" s="680"/>
      <c r="C292" s="681"/>
      <c r="D292" s="647"/>
      <c r="E292" s="647"/>
      <c r="F292" s="647"/>
      <c r="G292" s="647"/>
      <c r="H292" s="647"/>
      <c r="I292" s="647"/>
      <c r="J292" s="647"/>
      <c r="K292" s="647"/>
      <c r="L292" s="647"/>
      <c r="M292" s="647"/>
      <c r="N292" s="647"/>
      <c r="O292" s="647"/>
      <c r="P292" s="647"/>
      <c r="Q292" s="647"/>
      <c r="R292" s="647"/>
      <c r="S292" s="647"/>
      <c r="T292" s="647"/>
      <c r="U292" s="647"/>
      <c r="V292" s="647"/>
      <c r="W292" s="647"/>
      <c r="X292" s="647"/>
      <c r="Y292" s="647"/>
      <c r="Z292" s="647"/>
      <c r="AA292" s="647"/>
      <c r="AB292" s="647"/>
      <c r="AC292" s="647"/>
    </row>
    <row r="293" spans="1:29" ht="36" customHeight="1">
      <c r="A293" s="659"/>
      <c r="B293" s="680"/>
      <c r="C293" s="681"/>
      <c r="D293" s="647"/>
      <c r="E293" s="647"/>
      <c r="F293" s="647"/>
      <c r="G293" s="647"/>
      <c r="H293" s="647"/>
      <c r="I293" s="647"/>
      <c r="J293" s="647"/>
      <c r="K293" s="647"/>
      <c r="L293" s="647"/>
      <c r="M293" s="647"/>
      <c r="N293" s="647"/>
      <c r="O293" s="647"/>
      <c r="P293" s="647"/>
      <c r="Q293" s="647"/>
      <c r="R293" s="647"/>
      <c r="S293" s="647"/>
      <c r="T293" s="647"/>
      <c r="U293" s="647"/>
      <c r="V293" s="647"/>
      <c r="W293" s="647"/>
      <c r="X293" s="647"/>
      <c r="Y293" s="647"/>
      <c r="Z293" s="647"/>
      <c r="AA293" s="647"/>
      <c r="AB293" s="647"/>
      <c r="AC293" s="647"/>
    </row>
    <row r="294" spans="1:29" ht="36" customHeight="1">
      <c r="A294" s="659"/>
      <c r="B294" s="680"/>
      <c r="C294" s="681"/>
      <c r="D294" s="647"/>
      <c r="E294" s="647"/>
      <c r="F294" s="647"/>
      <c r="G294" s="647"/>
      <c r="H294" s="647"/>
      <c r="I294" s="647"/>
      <c r="J294" s="647"/>
      <c r="K294" s="647"/>
      <c r="L294" s="647"/>
      <c r="M294" s="647"/>
      <c r="N294" s="647"/>
      <c r="O294" s="647"/>
      <c r="P294" s="647"/>
      <c r="Q294" s="647"/>
      <c r="R294" s="647"/>
      <c r="S294" s="647"/>
      <c r="T294" s="647"/>
      <c r="U294" s="647"/>
      <c r="V294" s="647"/>
      <c r="W294" s="647"/>
      <c r="X294" s="647"/>
      <c r="Y294" s="647"/>
      <c r="Z294" s="647"/>
      <c r="AA294" s="647"/>
      <c r="AB294" s="647"/>
      <c r="AC294" s="647"/>
    </row>
    <row r="295" spans="1:29" ht="36" customHeight="1">
      <c r="A295" s="659"/>
      <c r="B295" s="680"/>
      <c r="C295" s="681"/>
      <c r="D295" s="647"/>
      <c r="E295" s="647"/>
      <c r="F295" s="647"/>
      <c r="G295" s="647"/>
      <c r="H295" s="647"/>
      <c r="I295" s="647"/>
      <c r="J295" s="647"/>
      <c r="K295" s="647"/>
      <c r="L295" s="647"/>
      <c r="M295" s="647"/>
      <c r="N295" s="647"/>
      <c r="O295" s="647"/>
      <c r="P295" s="647"/>
      <c r="Q295" s="647"/>
      <c r="R295" s="647"/>
      <c r="S295" s="647"/>
      <c r="T295" s="647"/>
      <c r="U295" s="647"/>
      <c r="V295" s="647"/>
      <c r="W295" s="647"/>
      <c r="X295" s="647"/>
      <c r="Y295" s="647"/>
      <c r="Z295" s="647"/>
      <c r="AA295" s="647"/>
      <c r="AB295" s="647"/>
      <c r="AC295" s="647"/>
    </row>
    <row r="296" spans="1:29" ht="36" customHeight="1">
      <c r="A296" s="659"/>
      <c r="B296" s="680"/>
      <c r="C296" s="681"/>
      <c r="D296" s="647"/>
      <c r="E296" s="647"/>
      <c r="F296" s="647"/>
      <c r="G296" s="647"/>
      <c r="H296" s="647"/>
      <c r="I296" s="647"/>
      <c r="J296" s="647"/>
      <c r="K296" s="647"/>
      <c r="L296" s="647"/>
      <c r="M296" s="647"/>
      <c r="N296" s="647"/>
      <c r="O296" s="647"/>
      <c r="P296" s="647"/>
      <c r="Q296" s="647"/>
      <c r="R296" s="647"/>
      <c r="S296" s="647"/>
      <c r="T296" s="647"/>
      <c r="U296" s="647"/>
      <c r="V296" s="647"/>
      <c r="W296" s="647"/>
      <c r="X296" s="647"/>
      <c r="Y296" s="647"/>
      <c r="Z296" s="647"/>
      <c r="AA296" s="647"/>
      <c r="AB296" s="647"/>
      <c r="AC296" s="647"/>
    </row>
    <row r="297" spans="1:29" ht="36" customHeight="1">
      <c r="A297" s="659"/>
      <c r="B297" s="680"/>
      <c r="C297" s="681"/>
      <c r="D297" s="647"/>
      <c r="E297" s="647"/>
      <c r="F297" s="647"/>
      <c r="G297" s="647"/>
      <c r="H297" s="647"/>
      <c r="I297" s="647"/>
      <c r="J297" s="647"/>
      <c r="K297" s="647"/>
      <c r="L297" s="647"/>
      <c r="M297" s="647"/>
      <c r="N297" s="647"/>
      <c r="O297" s="647"/>
      <c r="P297" s="647"/>
      <c r="Q297" s="647"/>
      <c r="R297" s="647"/>
      <c r="S297" s="647"/>
      <c r="T297" s="647"/>
      <c r="U297" s="647"/>
      <c r="V297" s="647"/>
      <c r="W297" s="647"/>
      <c r="X297" s="647"/>
      <c r="Y297" s="647"/>
      <c r="Z297" s="647"/>
      <c r="AA297" s="647"/>
      <c r="AB297" s="647"/>
      <c r="AC297" s="647"/>
    </row>
    <row r="298" spans="1:29" ht="36" customHeight="1">
      <c r="A298" s="659"/>
      <c r="B298" s="680"/>
      <c r="C298" s="681"/>
      <c r="D298" s="647"/>
      <c r="E298" s="647"/>
      <c r="F298" s="647"/>
      <c r="G298" s="647"/>
      <c r="H298" s="647"/>
      <c r="I298" s="647"/>
      <c r="J298" s="647"/>
      <c r="K298" s="647"/>
      <c r="L298" s="647"/>
      <c r="M298" s="647"/>
      <c r="N298" s="647"/>
      <c r="O298" s="647"/>
      <c r="P298" s="647"/>
      <c r="Q298" s="647"/>
      <c r="R298" s="647"/>
      <c r="S298" s="647"/>
      <c r="T298" s="647"/>
      <c r="U298" s="647"/>
      <c r="V298" s="647"/>
      <c r="W298" s="647"/>
      <c r="X298" s="647"/>
      <c r="Y298" s="647"/>
      <c r="Z298" s="647"/>
      <c r="AA298" s="647"/>
      <c r="AB298" s="647"/>
      <c r="AC298" s="647"/>
    </row>
    <row r="299" spans="1:29" ht="36" customHeight="1">
      <c r="A299" s="659"/>
      <c r="B299" s="680"/>
      <c r="C299" s="681"/>
      <c r="D299" s="647"/>
      <c r="E299" s="647"/>
      <c r="F299" s="647"/>
      <c r="G299" s="647"/>
      <c r="H299" s="647"/>
      <c r="I299" s="647"/>
      <c r="J299" s="647"/>
      <c r="K299" s="647"/>
      <c r="L299" s="647"/>
      <c r="M299" s="647"/>
      <c r="N299" s="647"/>
      <c r="O299" s="647"/>
      <c r="P299" s="647"/>
      <c r="Q299" s="647"/>
      <c r="R299" s="647"/>
      <c r="S299" s="647"/>
      <c r="T299" s="647"/>
      <c r="U299" s="647"/>
      <c r="V299" s="647"/>
      <c r="W299" s="647"/>
      <c r="X299" s="647"/>
      <c r="Y299" s="647"/>
      <c r="Z299" s="647"/>
      <c r="AA299" s="647"/>
      <c r="AB299" s="647"/>
      <c r="AC299" s="647"/>
    </row>
    <row r="300" spans="1:29" ht="36" customHeight="1">
      <c r="A300" s="659"/>
      <c r="B300" s="680"/>
      <c r="C300" s="681"/>
      <c r="D300" s="647"/>
      <c r="E300" s="647"/>
      <c r="F300" s="647"/>
      <c r="G300" s="647"/>
      <c r="H300" s="647"/>
      <c r="I300" s="647"/>
      <c r="J300" s="647"/>
      <c r="K300" s="647"/>
      <c r="L300" s="647"/>
      <c r="M300" s="647"/>
      <c r="N300" s="647"/>
      <c r="O300" s="647"/>
      <c r="P300" s="647"/>
      <c r="Q300" s="647"/>
      <c r="R300" s="647"/>
      <c r="S300" s="647"/>
      <c r="T300" s="647"/>
      <c r="U300" s="647"/>
      <c r="V300" s="647"/>
      <c r="W300" s="647"/>
      <c r="X300" s="647"/>
      <c r="Y300" s="647"/>
      <c r="Z300" s="647"/>
      <c r="AA300" s="647"/>
      <c r="AB300" s="647"/>
      <c r="AC300" s="647"/>
    </row>
    <row r="301" spans="1:29" ht="36" customHeight="1">
      <c r="A301" s="659"/>
      <c r="B301" s="680"/>
      <c r="C301" s="681"/>
      <c r="D301" s="647"/>
      <c r="E301" s="647"/>
      <c r="F301" s="647"/>
      <c r="G301" s="647"/>
      <c r="H301" s="647"/>
      <c r="I301" s="647"/>
      <c r="J301" s="647"/>
      <c r="K301" s="647"/>
      <c r="L301" s="647"/>
      <c r="M301" s="647"/>
      <c r="N301" s="647"/>
      <c r="O301" s="647"/>
      <c r="P301" s="647"/>
      <c r="Q301" s="647"/>
      <c r="R301" s="647"/>
      <c r="S301" s="647"/>
      <c r="T301" s="647"/>
      <c r="U301" s="647"/>
      <c r="V301" s="647"/>
      <c r="W301" s="647"/>
      <c r="X301" s="647"/>
      <c r="Y301" s="647"/>
      <c r="Z301" s="647"/>
      <c r="AA301" s="647"/>
      <c r="AB301" s="647"/>
      <c r="AC301" s="647"/>
    </row>
    <row r="302" spans="1:29" ht="36" customHeight="1">
      <c r="A302" s="659"/>
      <c r="B302" s="680"/>
      <c r="C302" s="681"/>
      <c r="D302" s="647"/>
      <c r="E302" s="647"/>
      <c r="F302" s="647"/>
      <c r="G302" s="647"/>
      <c r="H302" s="647"/>
      <c r="I302" s="647"/>
      <c r="J302" s="647"/>
      <c r="K302" s="647"/>
      <c r="L302" s="647"/>
      <c r="M302" s="647"/>
      <c r="N302" s="647"/>
      <c r="O302" s="647"/>
      <c r="P302" s="647"/>
      <c r="Q302" s="647"/>
      <c r="R302" s="647"/>
      <c r="S302" s="647"/>
      <c r="T302" s="647"/>
      <c r="U302" s="647"/>
      <c r="V302" s="647"/>
      <c r="W302" s="647"/>
      <c r="X302" s="647"/>
      <c r="Y302" s="647"/>
      <c r="Z302" s="647"/>
      <c r="AA302" s="647"/>
      <c r="AB302" s="647"/>
      <c r="AC302" s="647"/>
    </row>
    <row r="303" spans="1:29" ht="36" customHeight="1">
      <c r="A303" s="659"/>
      <c r="B303" s="680"/>
      <c r="C303" s="681"/>
      <c r="D303" s="647"/>
      <c r="E303" s="647"/>
      <c r="F303" s="647"/>
      <c r="G303" s="647"/>
      <c r="H303" s="647"/>
      <c r="I303" s="647"/>
      <c r="J303" s="647"/>
      <c r="K303" s="647"/>
      <c r="L303" s="647"/>
      <c r="M303" s="647"/>
      <c r="N303" s="647"/>
      <c r="O303" s="647"/>
      <c r="P303" s="647"/>
      <c r="Q303" s="647"/>
      <c r="R303" s="647"/>
      <c r="S303" s="647"/>
      <c r="T303" s="647"/>
      <c r="U303" s="647"/>
      <c r="V303" s="647"/>
      <c r="W303" s="647"/>
      <c r="X303" s="647"/>
      <c r="Y303" s="647"/>
      <c r="Z303" s="647"/>
      <c r="AA303" s="647"/>
      <c r="AB303" s="647"/>
      <c r="AC303" s="647"/>
    </row>
    <row r="304" spans="1:29" ht="36" customHeight="1">
      <c r="A304" s="659"/>
      <c r="B304" s="680"/>
      <c r="C304" s="681"/>
      <c r="D304" s="647"/>
      <c r="E304" s="647"/>
      <c r="F304" s="647"/>
      <c r="G304" s="647"/>
      <c r="H304" s="647"/>
      <c r="I304" s="647"/>
      <c r="J304" s="647"/>
      <c r="K304" s="647"/>
      <c r="L304" s="647"/>
      <c r="M304" s="647"/>
      <c r="N304" s="647"/>
      <c r="O304" s="647"/>
      <c r="P304" s="647"/>
      <c r="Q304" s="647"/>
      <c r="R304" s="647"/>
      <c r="S304" s="647"/>
      <c r="T304" s="647"/>
      <c r="U304" s="647"/>
      <c r="V304" s="647"/>
      <c r="W304" s="647"/>
      <c r="X304" s="647"/>
      <c r="Y304" s="647"/>
      <c r="Z304" s="647"/>
      <c r="AA304" s="647"/>
      <c r="AB304" s="647"/>
      <c r="AC304" s="647"/>
    </row>
    <row r="305" spans="1:29" ht="36" customHeight="1">
      <c r="A305" s="659"/>
      <c r="B305" s="680"/>
      <c r="C305" s="681"/>
      <c r="D305" s="647"/>
      <c r="E305" s="647"/>
      <c r="F305" s="647"/>
      <c r="G305" s="647"/>
      <c r="H305" s="647"/>
      <c r="I305" s="647"/>
      <c r="J305" s="647"/>
      <c r="K305" s="647"/>
      <c r="L305" s="647"/>
      <c r="M305" s="647"/>
      <c r="N305" s="647"/>
      <c r="O305" s="647"/>
      <c r="P305" s="647"/>
      <c r="Q305" s="647"/>
      <c r="R305" s="647"/>
      <c r="S305" s="647"/>
      <c r="T305" s="647"/>
      <c r="U305" s="647"/>
      <c r="V305" s="647"/>
      <c r="W305" s="647"/>
      <c r="X305" s="647"/>
      <c r="Y305" s="647"/>
      <c r="Z305" s="647"/>
      <c r="AA305" s="647"/>
      <c r="AB305" s="647"/>
      <c r="AC305" s="647"/>
    </row>
    <row r="306" spans="1:29" ht="36" customHeight="1">
      <c r="A306" s="659"/>
      <c r="B306" s="680"/>
      <c r="C306" s="681"/>
      <c r="D306" s="647"/>
      <c r="E306" s="647"/>
      <c r="F306" s="647"/>
      <c r="G306" s="647"/>
      <c r="H306" s="647"/>
      <c r="I306" s="647"/>
      <c r="J306" s="647"/>
      <c r="K306" s="647"/>
      <c r="L306" s="647"/>
      <c r="M306" s="647"/>
      <c r="N306" s="647"/>
      <c r="O306" s="647"/>
      <c r="P306" s="647"/>
      <c r="Q306" s="647"/>
      <c r="R306" s="647"/>
      <c r="S306" s="647"/>
      <c r="T306" s="647"/>
      <c r="U306" s="647"/>
      <c r="V306" s="647"/>
      <c r="W306" s="647"/>
      <c r="X306" s="647"/>
      <c r="Y306" s="647"/>
      <c r="Z306" s="647"/>
      <c r="AA306" s="647"/>
      <c r="AB306" s="647"/>
      <c r="AC306" s="647"/>
    </row>
    <row r="307" spans="1:29" ht="36" customHeight="1">
      <c r="A307" s="659"/>
      <c r="B307" s="680"/>
      <c r="C307" s="681"/>
      <c r="D307" s="647"/>
      <c r="E307" s="647"/>
      <c r="F307" s="647"/>
      <c r="G307" s="647"/>
      <c r="H307" s="647"/>
      <c r="I307" s="647"/>
      <c r="J307" s="647"/>
      <c r="K307" s="647"/>
      <c r="L307" s="647"/>
      <c r="M307" s="647"/>
      <c r="N307" s="647"/>
      <c r="O307" s="647"/>
      <c r="P307" s="647"/>
      <c r="Q307" s="647"/>
      <c r="R307" s="647"/>
      <c r="S307" s="647"/>
      <c r="T307" s="647"/>
      <c r="U307" s="647"/>
      <c r="V307" s="647"/>
      <c r="W307" s="647"/>
      <c r="X307" s="647"/>
      <c r="Y307" s="647"/>
      <c r="Z307" s="647"/>
      <c r="AA307" s="647"/>
      <c r="AB307" s="647"/>
      <c r="AC307" s="647"/>
    </row>
    <row r="308" spans="1:29" ht="36" customHeight="1">
      <c r="A308" s="659"/>
      <c r="B308" s="680"/>
      <c r="C308" s="681"/>
      <c r="D308" s="647"/>
      <c r="E308" s="647"/>
      <c r="F308" s="647"/>
      <c r="G308" s="647"/>
      <c r="H308" s="647"/>
      <c r="I308" s="647"/>
      <c r="J308" s="647"/>
      <c r="K308" s="647"/>
      <c r="L308" s="647"/>
      <c r="M308" s="647"/>
      <c r="N308" s="647"/>
      <c r="O308" s="647"/>
      <c r="P308" s="647"/>
      <c r="Q308" s="647"/>
      <c r="R308" s="647"/>
      <c r="S308" s="647"/>
      <c r="T308" s="647"/>
      <c r="U308" s="647"/>
      <c r="V308" s="647"/>
      <c r="W308" s="647"/>
      <c r="X308" s="647"/>
      <c r="Y308" s="647"/>
      <c r="Z308" s="647"/>
      <c r="AA308" s="647"/>
      <c r="AB308" s="647"/>
      <c r="AC308" s="647"/>
    </row>
    <row r="309" spans="1:29" ht="36" customHeight="1">
      <c r="A309" s="659"/>
      <c r="B309" s="680"/>
      <c r="C309" s="681"/>
      <c r="D309" s="647"/>
      <c r="E309" s="647"/>
      <c r="F309" s="647"/>
      <c r="G309" s="647"/>
      <c r="H309" s="647"/>
      <c r="I309" s="647"/>
      <c r="J309" s="647"/>
      <c r="K309" s="647"/>
      <c r="L309" s="647"/>
      <c r="M309" s="647"/>
      <c r="N309" s="647"/>
      <c r="O309" s="647"/>
      <c r="P309" s="647"/>
      <c r="Q309" s="647"/>
      <c r="R309" s="647"/>
      <c r="S309" s="647"/>
      <c r="T309" s="647"/>
      <c r="U309" s="647"/>
      <c r="V309" s="647"/>
      <c r="W309" s="647"/>
      <c r="X309" s="647"/>
      <c r="Y309" s="647"/>
      <c r="Z309" s="647"/>
      <c r="AA309" s="647"/>
      <c r="AB309" s="647"/>
      <c r="AC309" s="647"/>
    </row>
    <row r="310" spans="1:29" ht="36" customHeight="1">
      <c r="A310" s="659"/>
      <c r="B310" s="680"/>
      <c r="C310" s="681"/>
      <c r="D310" s="647"/>
      <c r="E310" s="647"/>
      <c r="F310" s="647"/>
      <c r="G310" s="647"/>
      <c r="H310" s="647"/>
      <c r="I310" s="647"/>
      <c r="J310" s="647"/>
      <c r="K310" s="647"/>
      <c r="L310" s="647"/>
      <c r="M310" s="647"/>
      <c r="N310" s="647"/>
      <c r="O310" s="647"/>
      <c r="P310" s="647"/>
      <c r="Q310" s="647"/>
      <c r="R310" s="647"/>
      <c r="S310" s="647"/>
      <c r="T310" s="647"/>
      <c r="U310" s="647"/>
      <c r="V310" s="647"/>
      <c r="W310" s="647"/>
      <c r="X310" s="647"/>
      <c r="Y310" s="647"/>
      <c r="Z310" s="647"/>
      <c r="AA310" s="647"/>
      <c r="AB310" s="647"/>
      <c r="AC310" s="647"/>
    </row>
    <row r="311" spans="1:29" ht="36" customHeight="1">
      <c r="A311" s="659"/>
      <c r="B311" s="680"/>
      <c r="C311" s="681"/>
      <c r="D311" s="647"/>
      <c r="E311" s="647"/>
      <c r="F311" s="647"/>
      <c r="G311" s="647"/>
      <c r="H311" s="647"/>
      <c r="I311" s="647"/>
      <c r="J311" s="647"/>
      <c r="K311" s="647"/>
      <c r="L311" s="647"/>
      <c r="M311" s="647"/>
      <c r="N311" s="647"/>
      <c r="O311" s="647"/>
      <c r="P311" s="647"/>
      <c r="Q311" s="647"/>
      <c r="R311" s="647"/>
      <c r="S311" s="647"/>
      <c r="T311" s="647"/>
      <c r="U311" s="647"/>
      <c r="V311" s="647"/>
      <c r="W311" s="647"/>
      <c r="X311" s="647"/>
      <c r="Y311" s="647"/>
      <c r="Z311" s="647"/>
      <c r="AA311" s="647"/>
      <c r="AB311" s="647"/>
      <c r="AC311" s="647"/>
    </row>
    <row r="312" spans="1:29" ht="36" customHeight="1">
      <c r="A312" s="659"/>
      <c r="B312" s="680"/>
      <c r="C312" s="681"/>
      <c r="D312" s="647"/>
      <c r="E312" s="647"/>
      <c r="F312" s="647"/>
      <c r="G312" s="647"/>
      <c r="H312" s="647"/>
      <c r="I312" s="647"/>
      <c r="J312" s="647"/>
      <c r="K312" s="647"/>
      <c r="L312" s="647"/>
      <c r="M312" s="647"/>
      <c r="N312" s="647"/>
      <c r="O312" s="647"/>
      <c r="P312" s="647"/>
      <c r="Q312" s="647"/>
      <c r="R312" s="647"/>
      <c r="S312" s="647"/>
      <c r="T312" s="647"/>
      <c r="U312" s="647"/>
      <c r="V312" s="647"/>
      <c r="W312" s="647"/>
      <c r="X312" s="647"/>
      <c r="Y312" s="647"/>
      <c r="Z312" s="647"/>
      <c r="AA312" s="647"/>
      <c r="AB312" s="647"/>
      <c r="AC312" s="647"/>
    </row>
    <row r="313" spans="1:29" ht="36" customHeight="1">
      <c r="A313" s="659"/>
      <c r="B313" s="680"/>
      <c r="C313" s="681"/>
      <c r="D313" s="647"/>
      <c r="E313" s="647"/>
      <c r="F313" s="647"/>
      <c r="G313" s="647"/>
      <c r="H313" s="647"/>
      <c r="I313" s="647"/>
      <c r="J313" s="647"/>
      <c r="K313" s="647"/>
      <c r="L313" s="647"/>
      <c r="M313" s="647"/>
      <c r="N313" s="647"/>
      <c r="O313" s="647"/>
      <c r="P313" s="647"/>
      <c r="Q313" s="647"/>
      <c r="R313" s="647"/>
      <c r="S313" s="647"/>
      <c r="T313" s="647"/>
      <c r="U313" s="647"/>
      <c r="V313" s="647"/>
      <c r="W313" s="647"/>
      <c r="X313" s="647"/>
      <c r="Y313" s="647"/>
      <c r="Z313" s="647"/>
      <c r="AA313" s="647"/>
      <c r="AB313" s="647"/>
      <c r="AC313" s="647"/>
    </row>
    <row r="314" spans="1:29" ht="36" customHeight="1">
      <c r="A314" s="659"/>
      <c r="B314" s="680"/>
      <c r="C314" s="681"/>
      <c r="D314" s="647"/>
      <c r="E314" s="647"/>
      <c r="F314" s="647"/>
      <c r="G314" s="647"/>
      <c r="H314" s="647"/>
      <c r="I314" s="647"/>
      <c r="J314" s="647"/>
      <c r="K314" s="647"/>
      <c r="L314" s="647"/>
      <c r="M314" s="647"/>
      <c r="N314" s="647"/>
      <c r="O314" s="647"/>
      <c r="P314" s="647"/>
      <c r="Q314" s="647"/>
      <c r="R314" s="647"/>
      <c r="S314" s="647"/>
      <c r="T314" s="647"/>
      <c r="U314" s="647"/>
      <c r="V314" s="647"/>
      <c r="W314" s="647"/>
      <c r="X314" s="647"/>
      <c r="Y314" s="647"/>
      <c r="Z314" s="647"/>
      <c r="AA314" s="647"/>
      <c r="AB314" s="647"/>
      <c r="AC314" s="647"/>
    </row>
    <row r="315" spans="1:29" ht="36" customHeight="1">
      <c r="A315" s="659"/>
      <c r="B315" s="680"/>
      <c r="C315" s="681"/>
      <c r="D315" s="647"/>
      <c r="E315" s="647"/>
      <c r="F315" s="647"/>
      <c r="G315" s="647"/>
      <c r="H315" s="647"/>
      <c r="I315" s="647"/>
      <c r="J315" s="647"/>
      <c r="K315" s="647"/>
      <c r="L315" s="647"/>
      <c r="M315" s="647"/>
      <c r="N315" s="647"/>
      <c r="O315" s="647"/>
      <c r="P315" s="647"/>
      <c r="Q315" s="647"/>
      <c r="R315" s="647"/>
      <c r="S315" s="647"/>
      <c r="T315" s="647"/>
      <c r="U315" s="647"/>
      <c r="V315" s="647"/>
      <c r="W315" s="647"/>
      <c r="X315" s="647"/>
      <c r="Y315" s="647"/>
      <c r="Z315" s="647"/>
      <c r="AA315" s="647"/>
      <c r="AB315" s="647"/>
      <c r="AC315" s="647"/>
    </row>
    <row r="316" spans="1:29" ht="36" customHeight="1">
      <c r="A316" s="659"/>
      <c r="B316" s="680"/>
      <c r="C316" s="681"/>
      <c r="D316" s="647"/>
      <c r="E316" s="647"/>
      <c r="F316" s="647"/>
      <c r="G316" s="647"/>
      <c r="H316" s="647"/>
      <c r="I316" s="647"/>
      <c r="J316" s="647"/>
      <c r="K316" s="647"/>
      <c r="L316" s="647"/>
      <c r="M316" s="647"/>
      <c r="N316" s="647"/>
      <c r="O316" s="647"/>
      <c r="P316" s="647"/>
      <c r="Q316" s="647"/>
      <c r="R316" s="647"/>
      <c r="S316" s="647"/>
      <c r="T316" s="647"/>
      <c r="U316" s="647"/>
      <c r="V316" s="647"/>
      <c r="W316" s="647"/>
      <c r="X316" s="647"/>
      <c r="Y316" s="647"/>
      <c r="Z316" s="647"/>
      <c r="AA316" s="647"/>
      <c r="AB316" s="647"/>
      <c r="AC316" s="647"/>
    </row>
    <row r="317" spans="1:29" ht="36" customHeight="1">
      <c r="A317" s="659"/>
      <c r="B317" s="680"/>
      <c r="C317" s="681"/>
      <c r="D317" s="647"/>
      <c r="E317" s="647"/>
      <c r="F317" s="647"/>
      <c r="G317" s="647"/>
      <c r="H317" s="647"/>
      <c r="I317" s="647"/>
      <c r="J317" s="647"/>
      <c r="K317" s="647"/>
      <c r="L317" s="647"/>
      <c r="M317" s="647"/>
      <c r="N317" s="647"/>
      <c r="O317" s="647"/>
      <c r="P317" s="647"/>
      <c r="Q317" s="647"/>
      <c r="R317" s="647"/>
      <c r="S317" s="647"/>
      <c r="T317" s="647"/>
      <c r="U317" s="647"/>
      <c r="V317" s="647"/>
      <c r="W317" s="647"/>
      <c r="X317" s="647"/>
      <c r="Y317" s="647"/>
      <c r="Z317" s="647"/>
      <c r="AA317" s="647"/>
      <c r="AB317" s="647"/>
      <c r="AC317" s="647"/>
    </row>
    <row r="318" spans="1:29" ht="36" customHeight="1">
      <c r="A318" s="659"/>
      <c r="B318" s="680"/>
      <c r="C318" s="681"/>
      <c r="D318" s="647"/>
      <c r="E318" s="647"/>
      <c r="F318" s="647"/>
      <c r="G318" s="647"/>
      <c r="H318" s="647"/>
      <c r="I318" s="647"/>
      <c r="J318" s="647"/>
      <c r="K318" s="647"/>
      <c r="L318" s="647"/>
      <c r="M318" s="647"/>
      <c r="N318" s="647"/>
      <c r="O318" s="647"/>
      <c r="P318" s="647"/>
      <c r="Q318" s="647"/>
      <c r="R318" s="647"/>
      <c r="S318" s="647"/>
      <c r="T318" s="647"/>
      <c r="U318" s="647"/>
      <c r="V318" s="647"/>
      <c r="W318" s="647"/>
      <c r="X318" s="647"/>
      <c r="Y318" s="647"/>
      <c r="Z318" s="647"/>
      <c r="AA318" s="647"/>
      <c r="AB318" s="647"/>
      <c r="AC318" s="647"/>
    </row>
    <row r="319" spans="1:29" ht="36" customHeight="1">
      <c r="A319" s="659"/>
      <c r="B319" s="683"/>
      <c r="C319" s="681"/>
      <c r="D319" s="647"/>
      <c r="E319" s="647"/>
      <c r="F319" s="647"/>
      <c r="G319" s="647"/>
      <c r="H319" s="647"/>
      <c r="I319" s="647"/>
      <c r="J319" s="647"/>
      <c r="K319" s="647"/>
      <c r="L319" s="647"/>
      <c r="M319" s="647"/>
      <c r="N319" s="647"/>
      <c r="O319" s="647"/>
      <c r="P319" s="647"/>
      <c r="Q319" s="647"/>
      <c r="R319" s="647"/>
      <c r="S319" s="647"/>
      <c r="T319" s="647"/>
      <c r="U319" s="647"/>
      <c r="V319" s="647"/>
      <c r="W319" s="647"/>
      <c r="X319" s="647"/>
      <c r="Y319" s="647"/>
      <c r="Z319" s="647"/>
      <c r="AA319" s="647"/>
      <c r="AB319" s="647"/>
      <c r="AC319" s="647"/>
    </row>
    <row r="320" spans="1:29" ht="36.75" customHeight="1">
      <c r="A320" s="659"/>
      <c r="B320" s="680"/>
      <c r="C320" s="681"/>
      <c r="D320" s="647"/>
      <c r="E320" s="647"/>
      <c r="F320" s="647"/>
      <c r="G320" s="647"/>
      <c r="H320" s="647"/>
      <c r="I320" s="647"/>
      <c r="J320" s="647"/>
      <c r="K320" s="647"/>
      <c r="L320" s="647"/>
      <c r="M320" s="647"/>
      <c r="N320" s="647"/>
      <c r="O320" s="647"/>
      <c r="P320" s="647"/>
      <c r="Q320" s="647"/>
      <c r="R320" s="647"/>
      <c r="S320" s="647"/>
      <c r="T320" s="647"/>
      <c r="U320" s="647"/>
      <c r="V320" s="647"/>
      <c r="W320" s="647"/>
      <c r="X320" s="647"/>
      <c r="Y320" s="647"/>
      <c r="Z320" s="647"/>
      <c r="AA320" s="647"/>
      <c r="AB320" s="647"/>
      <c r="AC320" s="647"/>
    </row>
    <row r="321" spans="1:29" ht="18" customHeight="1">
      <c r="A321" s="651"/>
      <c r="B321" s="661"/>
      <c r="C321" s="655"/>
      <c r="D321" s="647"/>
      <c r="E321" s="647"/>
      <c r="F321" s="647"/>
      <c r="G321" s="647"/>
      <c r="H321" s="647"/>
      <c r="I321" s="647"/>
      <c r="J321" s="647"/>
      <c r="K321" s="647"/>
      <c r="L321" s="647"/>
      <c r="M321" s="647"/>
      <c r="N321" s="647"/>
      <c r="O321" s="647"/>
      <c r="P321" s="647"/>
      <c r="Q321" s="647"/>
      <c r="R321" s="647"/>
      <c r="S321" s="647"/>
      <c r="T321" s="647"/>
      <c r="U321" s="647"/>
      <c r="V321" s="647"/>
      <c r="W321" s="647"/>
      <c r="X321" s="647"/>
      <c r="Y321" s="647"/>
      <c r="Z321" s="647"/>
      <c r="AA321" s="647"/>
      <c r="AB321" s="647"/>
      <c r="AC321" s="647"/>
    </row>
    <row r="322" spans="1:29" ht="18" customHeight="1">
      <c r="A322" s="659"/>
      <c r="B322" s="661"/>
      <c r="C322" s="662"/>
      <c r="D322" s="647"/>
      <c r="E322" s="647"/>
      <c r="F322" s="647"/>
      <c r="G322" s="647"/>
      <c r="H322" s="647"/>
      <c r="I322" s="647"/>
      <c r="J322" s="647"/>
      <c r="K322" s="647"/>
      <c r="L322" s="647"/>
      <c r="M322" s="647"/>
      <c r="N322" s="647"/>
      <c r="O322" s="647"/>
      <c r="P322" s="647"/>
      <c r="Q322" s="647"/>
      <c r="R322" s="647"/>
      <c r="S322" s="647"/>
      <c r="T322" s="647"/>
      <c r="U322" s="647"/>
      <c r="V322" s="647"/>
      <c r="W322" s="647"/>
      <c r="X322" s="647"/>
      <c r="Y322" s="647"/>
      <c r="Z322" s="647"/>
      <c r="AA322" s="647"/>
      <c r="AB322" s="647"/>
      <c r="AC322" s="647"/>
    </row>
    <row r="323" spans="1:29" ht="18" customHeight="1">
      <c r="A323" s="652"/>
      <c r="B323" s="683"/>
      <c r="C323" s="663"/>
      <c r="D323" s="647"/>
      <c r="E323" s="647"/>
      <c r="F323" s="647"/>
      <c r="G323" s="647"/>
      <c r="H323" s="647"/>
      <c r="I323" s="647"/>
      <c r="J323" s="647"/>
      <c r="K323" s="647"/>
      <c r="L323" s="647"/>
      <c r="M323" s="647"/>
      <c r="N323" s="647"/>
      <c r="O323" s="647"/>
      <c r="P323" s="647"/>
      <c r="Q323" s="647"/>
      <c r="R323" s="647"/>
      <c r="S323" s="647"/>
      <c r="T323" s="647"/>
      <c r="U323" s="647"/>
      <c r="V323" s="647"/>
      <c r="W323" s="647"/>
      <c r="X323" s="647"/>
      <c r="Y323" s="647"/>
      <c r="Z323" s="647"/>
      <c r="AA323" s="647"/>
      <c r="AB323" s="647"/>
      <c r="AC323" s="647"/>
    </row>
    <row r="324" spans="1:29" ht="18" customHeight="1">
      <c r="A324" s="659"/>
      <c r="B324" s="661"/>
      <c r="C324" s="662"/>
      <c r="D324" s="647"/>
      <c r="E324" s="647"/>
      <c r="F324" s="647"/>
      <c r="G324" s="647"/>
      <c r="H324" s="647"/>
      <c r="I324" s="647"/>
      <c r="J324" s="647"/>
      <c r="K324" s="647"/>
      <c r="L324" s="647"/>
      <c r="M324" s="647"/>
      <c r="N324" s="647"/>
      <c r="O324" s="647"/>
      <c r="P324" s="647"/>
      <c r="Q324" s="647"/>
      <c r="R324" s="647"/>
      <c r="S324" s="647"/>
      <c r="T324" s="647"/>
      <c r="U324" s="647"/>
      <c r="V324" s="647"/>
      <c r="W324" s="647"/>
      <c r="X324" s="647"/>
      <c r="Y324" s="647"/>
      <c r="Z324" s="647"/>
      <c r="AA324" s="647"/>
      <c r="AB324" s="647"/>
      <c r="AC324" s="647"/>
    </row>
    <row r="325" spans="1:29" ht="18" customHeight="1">
      <c r="A325" s="659"/>
      <c r="B325" s="661"/>
      <c r="C325" s="655"/>
      <c r="D325" s="647"/>
      <c r="E325" s="647"/>
      <c r="F325" s="647"/>
      <c r="G325" s="647"/>
      <c r="H325" s="647"/>
      <c r="I325" s="647"/>
      <c r="J325" s="647"/>
      <c r="K325" s="647"/>
      <c r="L325" s="647"/>
      <c r="M325" s="647"/>
      <c r="N325" s="647"/>
      <c r="O325" s="647"/>
      <c r="P325" s="647"/>
      <c r="Q325" s="647"/>
      <c r="R325" s="647"/>
      <c r="S325" s="647"/>
      <c r="T325" s="647"/>
      <c r="U325" s="647"/>
      <c r="V325" s="647"/>
      <c r="W325" s="647"/>
      <c r="X325" s="647"/>
      <c r="Y325" s="647"/>
      <c r="Z325" s="647"/>
      <c r="AA325" s="647"/>
      <c r="AB325" s="647"/>
      <c r="AC325" s="647"/>
    </row>
    <row r="326" spans="1:29" ht="18" customHeight="1">
      <c r="A326" s="652"/>
      <c r="B326" s="683"/>
      <c r="C326" s="663"/>
      <c r="D326" s="647"/>
      <c r="E326" s="647"/>
      <c r="F326" s="647"/>
      <c r="G326" s="647"/>
      <c r="H326" s="647"/>
      <c r="I326" s="647"/>
      <c r="J326" s="647"/>
      <c r="K326" s="647"/>
      <c r="L326" s="647"/>
      <c r="M326" s="647"/>
      <c r="N326" s="647"/>
      <c r="O326" s="647"/>
      <c r="P326" s="647"/>
      <c r="Q326" s="647"/>
      <c r="R326" s="647"/>
      <c r="S326" s="647"/>
      <c r="T326" s="647"/>
      <c r="U326" s="647"/>
      <c r="V326" s="647"/>
      <c r="W326" s="647"/>
      <c r="X326" s="647"/>
      <c r="Y326" s="647"/>
      <c r="Z326" s="647"/>
      <c r="AA326" s="647"/>
      <c r="AB326" s="647"/>
      <c r="AC326" s="647"/>
    </row>
    <row r="327" spans="1:29" ht="18" customHeight="1">
      <c r="A327" s="652"/>
      <c r="B327" s="683"/>
      <c r="C327" s="663"/>
      <c r="D327" s="647"/>
      <c r="E327" s="647"/>
      <c r="F327" s="647"/>
      <c r="G327" s="647"/>
      <c r="H327" s="647"/>
      <c r="I327" s="647"/>
      <c r="J327" s="647"/>
      <c r="K327" s="647"/>
      <c r="L327" s="647"/>
      <c r="M327" s="647"/>
      <c r="N327" s="647"/>
      <c r="O327" s="647"/>
      <c r="P327" s="647"/>
      <c r="Q327" s="647"/>
      <c r="R327" s="647"/>
      <c r="S327" s="647"/>
      <c r="T327" s="647"/>
      <c r="U327" s="647"/>
      <c r="V327" s="647"/>
      <c r="W327" s="647"/>
      <c r="X327" s="647"/>
      <c r="Y327" s="647"/>
      <c r="Z327" s="647"/>
      <c r="AA327" s="647"/>
      <c r="AB327" s="647"/>
      <c r="AC327" s="647"/>
    </row>
    <row r="328" spans="1:29" ht="18" customHeight="1">
      <c r="A328" s="659"/>
      <c r="B328" s="683"/>
      <c r="C328" s="663"/>
      <c r="D328" s="647"/>
      <c r="E328" s="647"/>
      <c r="F328" s="647"/>
      <c r="G328" s="647"/>
      <c r="H328" s="647"/>
      <c r="I328" s="647"/>
      <c r="J328" s="647"/>
      <c r="K328" s="647"/>
      <c r="L328" s="647"/>
      <c r="M328" s="647"/>
      <c r="N328" s="647"/>
      <c r="O328" s="647"/>
      <c r="P328" s="647"/>
      <c r="Q328" s="647"/>
      <c r="R328" s="647"/>
      <c r="S328" s="647"/>
      <c r="T328" s="647"/>
      <c r="U328" s="647"/>
      <c r="V328" s="647"/>
      <c r="W328" s="647"/>
      <c r="X328" s="647"/>
      <c r="Y328" s="647"/>
      <c r="Z328" s="647"/>
      <c r="AA328" s="647"/>
      <c r="AB328" s="647"/>
      <c r="AC328" s="647"/>
    </row>
    <row r="329" spans="1:29" ht="18" customHeight="1">
      <c r="A329" s="664"/>
      <c r="B329" s="661"/>
      <c r="C329" s="662"/>
      <c r="D329" s="647"/>
      <c r="E329" s="647"/>
      <c r="F329" s="647"/>
      <c r="G329" s="647"/>
      <c r="H329" s="647"/>
      <c r="I329" s="647"/>
      <c r="J329" s="647"/>
      <c r="K329" s="647"/>
      <c r="L329" s="647"/>
      <c r="M329" s="647"/>
      <c r="N329" s="647"/>
      <c r="O329" s="647"/>
      <c r="P329" s="647"/>
      <c r="Q329" s="647"/>
      <c r="R329" s="647"/>
      <c r="S329" s="647"/>
      <c r="T329" s="647"/>
      <c r="U329" s="647"/>
      <c r="V329" s="647"/>
      <c r="W329" s="647"/>
      <c r="X329" s="647"/>
      <c r="Y329" s="647"/>
      <c r="Z329" s="647"/>
      <c r="AA329" s="647"/>
      <c r="AB329" s="647"/>
      <c r="AC329" s="647"/>
    </row>
    <row r="330" spans="1:29" ht="18" customHeight="1">
      <c r="A330" s="664"/>
      <c r="B330" s="661"/>
      <c r="C330" s="662"/>
      <c r="D330" s="647"/>
      <c r="E330" s="647"/>
      <c r="F330" s="647"/>
      <c r="G330" s="647"/>
      <c r="H330" s="647"/>
      <c r="I330" s="647"/>
      <c r="J330" s="647"/>
      <c r="K330" s="647"/>
      <c r="L330" s="647"/>
      <c r="M330" s="647"/>
      <c r="N330" s="647"/>
      <c r="O330" s="647"/>
      <c r="P330" s="647"/>
      <c r="Q330" s="647"/>
      <c r="R330" s="647"/>
      <c r="S330" s="647"/>
      <c r="T330" s="647"/>
      <c r="U330" s="647"/>
      <c r="V330" s="647"/>
      <c r="W330" s="647"/>
      <c r="X330" s="647"/>
      <c r="Y330" s="647"/>
      <c r="Z330" s="647"/>
      <c r="AA330" s="647"/>
      <c r="AB330" s="647"/>
      <c r="AC330" s="647"/>
    </row>
    <row r="331" spans="1:29" ht="18" customHeight="1">
      <c r="A331" s="665"/>
      <c r="B331" s="661"/>
      <c r="C331" s="662"/>
      <c r="D331" s="647"/>
      <c r="E331" s="647"/>
      <c r="F331" s="647"/>
      <c r="G331" s="647"/>
      <c r="H331" s="647"/>
      <c r="I331" s="647"/>
      <c r="J331" s="647"/>
      <c r="K331" s="647"/>
      <c r="L331" s="647"/>
      <c r="M331" s="647"/>
      <c r="N331" s="647"/>
      <c r="O331" s="647"/>
      <c r="P331" s="647"/>
      <c r="Q331" s="647"/>
      <c r="R331" s="647"/>
      <c r="S331" s="647"/>
      <c r="T331" s="647"/>
      <c r="U331" s="647"/>
      <c r="V331" s="647"/>
      <c r="W331" s="647"/>
      <c r="X331" s="647"/>
      <c r="Y331" s="647"/>
      <c r="Z331" s="647"/>
      <c r="AA331" s="647"/>
      <c r="AB331" s="647"/>
      <c r="AC331" s="647"/>
    </row>
  </sheetData>
  <mergeCells count="8">
    <mergeCell ref="A8:AB10"/>
    <mergeCell ref="C7:AB7"/>
    <mergeCell ref="A1:B6"/>
    <mergeCell ref="C1:Z3"/>
    <mergeCell ref="AA1:AB2"/>
    <mergeCell ref="AA3:AB4"/>
    <mergeCell ref="C4:Z6"/>
    <mergeCell ref="AA5:AB6"/>
  </mergeCells>
  <pageMargins left="0.7" right="0.7" top="0.75" bottom="0.75" header="0.3" footer="0.3"/>
  <pageSetup orientation="portrait" r:id="rId1"/>
  <headerFooter>
    <oddFooter>&amp;C&amp;"Helvetica Neue,Regular"&amp;12&amp;K000000&amp;P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9"/>
  <sheetViews>
    <sheetView showGridLines="0" zoomScale="70" zoomScaleNormal="70" workbookViewId="0">
      <selection activeCell="D21" sqref="D21"/>
    </sheetView>
  </sheetViews>
  <sheetFormatPr baseColWidth="10" defaultColWidth="10.81640625" defaultRowHeight="15" customHeight="1"/>
  <cols>
    <col min="1" max="1" width="25.7265625" style="698" customWidth="1"/>
    <col min="2" max="2" width="61.7265625" style="705" customWidth="1"/>
    <col min="3" max="3" width="67" style="698" customWidth="1"/>
    <col min="4" max="4" width="42.1796875" style="705" customWidth="1"/>
    <col min="5" max="5" width="17.7265625" style="698" customWidth="1"/>
    <col min="6" max="6" width="28" style="698" customWidth="1"/>
    <col min="7" max="30" width="10.81640625" style="698" customWidth="1"/>
    <col min="31" max="16384" width="10.81640625" style="698"/>
  </cols>
  <sheetData>
    <row r="1" spans="1:29" ht="13.5" customHeight="1">
      <c r="A1" s="713"/>
      <c r="B1" s="714" t="s">
        <v>1</v>
      </c>
      <c r="C1" s="715"/>
      <c r="D1" s="715"/>
      <c r="E1" s="715"/>
      <c r="F1" s="715"/>
      <c r="G1" s="715"/>
      <c r="H1" s="715"/>
      <c r="I1" s="715"/>
      <c r="J1" s="715"/>
      <c r="K1" s="715"/>
      <c r="L1" s="715"/>
      <c r="M1" s="715"/>
      <c r="N1" s="715"/>
      <c r="O1" s="715"/>
      <c r="P1" s="715"/>
      <c r="Q1" s="715"/>
      <c r="R1" s="715"/>
      <c r="S1" s="715"/>
      <c r="T1" s="715"/>
      <c r="U1" s="715"/>
      <c r="V1" s="715"/>
      <c r="W1" s="715"/>
      <c r="X1" s="715"/>
      <c r="Y1" s="715"/>
      <c r="Z1" s="715"/>
      <c r="AA1" s="716" t="s">
        <v>2</v>
      </c>
      <c r="AB1" s="717"/>
      <c r="AC1" s="700"/>
    </row>
    <row r="2" spans="1:29" ht="15" customHeight="1">
      <c r="A2" s="713"/>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7"/>
      <c r="AB2" s="717"/>
      <c r="AC2" s="700"/>
    </row>
    <row r="3" spans="1:29" ht="15" customHeight="1">
      <c r="A3" s="713"/>
      <c r="B3" s="715"/>
      <c r="C3" s="715"/>
      <c r="D3" s="715"/>
      <c r="E3" s="715"/>
      <c r="F3" s="715"/>
      <c r="G3" s="715"/>
      <c r="H3" s="715"/>
      <c r="I3" s="715"/>
      <c r="J3" s="715"/>
      <c r="K3" s="715"/>
      <c r="L3" s="715"/>
      <c r="M3" s="715"/>
      <c r="N3" s="715"/>
      <c r="O3" s="715"/>
      <c r="P3" s="715"/>
      <c r="Q3" s="715"/>
      <c r="R3" s="715"/>
      <c r="S3" s="715"/>
      <c r="T3" s="715"/>
      <c r="U3" s="715"/>
      <c r="V3" s="715"/>
      <c r="W3" s="715"/>
      <c r="X3" s="715"/>
      <c r="Y3" s="715"/>
      <c r="Z3" s="715"/>
      <c r="AA3" s="718" t="s">
        <v>4</v>
      </c>
      <c r="AB3" s="719"/>
      <c r="AC3" s="700"/>
    </row>
    <row r="4" spans="1:29" ht="15" customHeight="1">
      <c r="A4" s="713"/>
      <c r="B4" s="720" t="s">
        <v>3</v>
      </c>
      <c r="C4" s="721"/>
      <c r="D4" s="721"/>
      <c r="E4" s="721"/>
      <c r="F4" s="721"/>
      <c r="G4" s="721"/>
      <c r="H4" s="721"/>
      <c r="I4" s="721"/>
      <c r="J4" s="721"/>
      <c r="K4" s="721"/>
      <c r="L4" s="721"/>
      <c r="M4" s="721"/>
      <c r="N4" s="721"/>
      <c r="O4" s="721"/>
      <c r="P4" s="721"/>
      <c r="Q4" s="721"/>
      <c r="R4" s="721"/>
      <c r="S4" s="721"/>
      <c r="T4" s="721"/>
      <c r="U4" s="721"/>
      <c r="V4" s="721"/>
      <c r="W4" s="721"/>
      <c r="X4" s="721"/>
      <c r="Y4" s="721"/>
      <c r="Z4" s="721"/>
      <c r="AA4" s="719"/>
      <c r="AB4" s="719"/>
      <c r="AC4" s="700"/>
    </row>
    <row r="5" spans="1:29" ht="15" customHeight="1">
      <c r="A5" s="713"/>
      <c r="B5" s="721"/>
      <c r="C5" s="721"/>
      <c r="D5" s="721"/>
      <c r="E5" s="721"/>
      <c r="F5" s="721"/>
      <c r="G5" s="721"/>
      <c r="H5" s="721"/>
      <c r="I5" s="721"/>
      <c r="J5" s="721"/>
      <c r="K5" s="721"/>
      <c r="L5" s="721"/>
      <c r="M5" s="721"/>
      <c r="N5" s="721"/>
      <c r="O5" s="721"/>
      <c r="P5" s="721"/>
      <c r="Q5" s="721"/>
      <c r="R5" s="721"/>
      <c r="S5" s="721"/>
      <c r="T5" s="721"/>
      <c r="U5" s="721"/>
      <c r="V5" s="721"/>
      <c r="W5" s="721"/>
      <c r="X5" s="721"/>
      <c r="Y5" s="721"/>
      <c r="Z5" s="721"/>
      <c r="AA5" s="718" t="s">
        <v>5</v>
      </c>
      <c r="AB5" s="719"/>
      <c r="AC5" s="700"/>
    </row>
    <row r="6" spans="1:29" ht="15" customHeight="1">
      <c r="A6" s="713"/>
      <c r="B6" s="721"/>
      <c r="C6" s="721"/>
      <c r="D6" s="721"/>
      <c r="E6" s="721"/>
      <c r="F6" s="721"/>
      <c r="G6" s="721"/>
      <c r="H6" s="721"/>
      <c r="I6" s="721"/>
      <c r="J6" s="721"/>
      <c r="K6" s="721"/>
      <c r="L6" s="721"/>
      <c r="M6" s="721"/>
      <c r="N6" s="721"/>
      <c r="O6" s="721"/>
      <c r="P6" s="721"/>
      <c r="Q6" s="721"/>
      <c r="R6" s="721"/>
      <c r="S6" s="721"/>
      <c r="T6" s="721"/>
      <c r="U6" s="721"/>
      <c r="V6" s="721"/>
      <c r="W6" s="721"/>
      <c r="X6" s="721"/>
      <c r="Y6" s="721"/>
      <c r="Z6" s="721"/>
      <c r="AA6" s="719"/>
      <c r="AB6" s="719"/>
      <c r="AC6" s="700"/>
    </row>
    <row r="7" spans="1:29" ht="15" customHeight="1">
      <c r="A7" s="700"/>
      <c r="B7" s="702"/>
      <c r="C7" s="703"/>
      <c r="D7" s="702"/>
      <c r="E7" s="700"/>
      <c r="F7" s="704"/>
      <c r="G7" s="700"/>
      <c r="H7" s="700"/>
      <c r="I7" s="700"/>
      <c r="J7" s="700"/>
      <c r="K7" s="700"/>
      <c r="L7" s="700"/>
      <c r="M7" s="700"/>
      <c r="N7" s="700"/>
      <c r="O7" s="700"/>
      <c r="P7" s="700"/>
      <c r="Q7" s="700"/>
      <c r="R7" s="700"/>
      <c r="S7" s="700"/>
      <c r="T7" s="700"/>
      <c r="U7" s="700"/>
      <c r="V7" s="700"/>
      <c r="W7" s="700"/>
      <c r="X7" s="700"/>
      <c r="Y7" s="700"/>
      <c r="Z7" s="700"/>
      <c r="AA7" s="700"/>
      <c r="AB7" s="700"/>
      <c r="AC7" s="700"/>
    </row>
    <row r="8" spans="1:29" ht="15" customHeight="1">
      <c r="A8" s="700"/>
      <c r="B8" s="702"/>
      <c r="C8" s="703"/>
      <c r="D8" s="702"/>
      <c r="E8" s="700"/>
      <c r="F8" s="704"/>
      <c r="G8" s="700"/>
      <c r="H8" s="700"/>
      <c r="I8" s="700"/>
      <c r="J8" s="700"/>
      <c r="K8" s="700"/>
      <c r="L8" s="700"/>
      <c r="M8" s="700"/>
      <c r="N8" s="700"/>
      <c r="O8" s="700"/>
      <c r="P8" s="700"/>
      <c r="Q8" s="700"/>
      <c r="R8" s="700"/>
      <c r="S8" s="700"/>
      <c r="T8" s="700"/>
      <c r="U8" s="700"/>
      <c r="V8" s="700"/>
      <c r="W8" s="700"/>
      <c r="X8" s="700"/>
      <c r="Y8" s="700"/>
      <c r="Z8" s="700"/>
      <c r="AA8" s="700"/>
      <c r="AB8" s="700"/>
      <c r="AC8" s="700"/>
    </row>
    <row r="9" spans="1:29" ht="15" customHeight="1">
      <c r="A9" s="700"/>
      <c r="B9" s="702"/>
      <c r="C9" s="703"/>
      <c r="D9" s="702"/>
      <c r="E9" s="700"/>
      <c r="F9" s="704"/>
      <c r="G9" s="700"/>
      <c r="H9" s="700"/>
      <c r="I9" s="700"/>
      <c r="J9" s="700"/>
      <c r="K9" s="700"/>
      <c r="L9" s="700"/>
      <c r="M9" s="700"/>
      <c r="N9" s="700"/>
      <c r="O9" s="700"/>
      <c r="P9" s="700"/>
      <c r="Q9" s="700"/>
      <c r="R9" s="700"/>
      <c r="S9" s="700"/>
      <c r="T9" s="700"/>
      <c r="U9" s="700"/>
      <c r="V9" s="700"/>
      <c r="W9" s="700"/>
      <c r="X9" s="700"/>
      <c r="Y9" s="700"/>
      <c r="Z9" s="700"/>
      <c r="AA9" s="700"/>
      <c r="AB9" s="700"/>
      <c r="AC9" s="700"/>
    </row>
    <row r="10" spans="1:29" ht="18" customHeight="1">
      <c r="A10" s="700"/>
      <c r="B10" s="702"/>
      <c r="C10" s="722"/>
      <c r="D10" s="702"/>
      <c r="E10" s="700"/>
      <c r="F10" s="699"/>
      <c r="G10" s="700"/>
      <c r="H10" s="700"/>
      <c r="I10" s="700"/>
      <c r="J10" s="700"/>
      <c r="K10" s="700"/>
      <c r="L10" s="700"/>
      <c r="M10" s="700"/>
      <c r="N10" s="700"/>
      <c r="O10" s="700"/>
      <c r="P10" s="700"/>
      <c r="Q10" s="700"/>
      <c r="R10" s="700"/>
      <c r="S10" s="700"/>
      <c r="T10" s="700"/>
      <c r="U10" s="700"/>
      <c r="V10" s="700"/>
      <c r="W10" s="700"/>
      <c r="X10" s="700"/>
      <c r="Y10" s="700"/>
      <c r="Z10" s="700"/>
      <c r="AA10" s="700"/>
      <c r="AB10" s="700"/>
      <c r="AC10" s="700"/>
    </row>
    <row r="11" spans="1:29" ht="18" customHeight="1">
      <c r="A11" s="723"/>
      <c r="B11" s="724"/>
      <c r="C11" s="725"/>
      <c r="D11" s="724"/>
      <c r="E11" s="723"/>
      <c r="F11" s="726"/>
      <c r="G11" s="700"/>
      <c r="H11" s="700"/>
      <c r="I11" s="700"/>
      <c r="J11" s="700"/>
      <c r="K11" s="700"/>
      <c r="L11" s="700"/>
      <c r="M11" s="700"/>
      <c r="N11" s="700"/>
      <c r="O11" s="700"/>
      <c r="P11" s="700"/>
      <c r="Q11" s="700"/>
      <c r="R11" s="700"/>
      <c r="S11" s="700"/>
      <c r="T11" s="700"/>
      <c r="U11" s="700"/>
      <c r="V11" s="700"/>
      <c r="W11" s="700"/>
      <c r="X11" s="700"/>
      <c r="Y11" s="700"/>
      <c r="Z11" s="700"/>
      <c r="AA11" s="700"/>
      <c r="AB11" s="700"/>
      <c r="AC11" s="700"/>
    </row>
    <row r="12" spans="1:29" ht="46" customHeight="1">
      <c r="A12" s="727" t="s">
        <v>958</v>
      </c>
      <c r="B12" s="728" t="s">
        <v>959</v>
      </c>
      <c r="C12" s="729"/>
      <c r="D12" s="730" t="s">
        <v>960</v>
      </c>
      <c r="E12" s="727" t="s">
        <v>961</v>
      </c>
      <c r="F12" s="346" t="s">
        <v>962</v>
      </c>
      <c r="G12" s="700"/>
      <c r="H12" s="700"/>
      <c r="I12" s="700"/>
      <c r="J12" s="700"/>
      <c r="K12" s="700"/>
      <c r="L12" s="700"/>
      <c r="M12" s="700"/>
      <c r="N12" s="700"/>
      <c r="O12" s="700"/>
      <c r="P12" s="700"/>
      <c r="Q12" s="700"/>
      <c r="R12" s="700"/>
      <c r="S12" s="700"/>
      <c r="T12" s="700"/>
      <c r="U12" s="700"/>
      <c r="V12" s="700"/>
      <c r="W12" s="700"/>
      <c r="X12" s="700"/>
      <c r="Y12" s="700"/>
      <c r="Z12" s="700"/>
      <c r="AA12" s="700"/>
      <c r="AB12" s="700"/>
      <c r="AC12" s="700"/>
    </row>
    <row r="13" spans="1:29" ht="53" customHeight="1">
      <c r="A13" s="707" t="s">
        <v>963</v>
      </c>
      <c r="B13" s="706" t="s">
        <v>1292</v>
      </c>
      <c r="C13" s="711" t="s">
        <v>1293</v>
      </c>
      <c r="D13" s="739" t="s">
        <v>964</v>
      </c>
      <c r="E13" s="712">
        <v>1</v>
      </c>
      <c r="F13" s="710">
        <v>685621610</v>
      </c>
      <c r="G13" s="700"/>
      <c r="H13" s="700"/>
      <c r="I13" s="700"/>
      <c r="J13" s="700"/>
      <c r="K13" s="700"/>
      <c r="L13" s="700"/>
      <c r="M13" s="700"/>
      <c r="N13" s="700"/>
      <c r="O13" s="700"/>
      <c r="P13" s="700"/>
      <c r="Q13" s="700"/>
      <c r="R13" s="700"/>
      <c r="S13" s="700"/>
      <c r="T13" s="700"/>
      <c r="U13" s="700"/>
      <c r="V13" s="700"/>
      <c r="W13" s="700"/>
      <c r="X13" s="700"/>
      <c r="Y13" s="700"/>
      <c r="Z13" s="700"/>
      <c r="AA13" s="700"/>
      <c r="AB13" s="700"/>
      <c r="AC13" s="700"/>
    </row>
    <row r="14" spans="1:29" ht="121" customHeight="1">
      <c r="A14" s="709"/>
      <c r="B14" s="708"/>
      <c r="C14" s="711" t="s">
        <v>1294</v>
      </c>
      <c r="D14" s="738" t="s">
        <v>965</v>
      </c>
      <c r="E14" s="712"/>
      <c r="F14" s="710"/>
      <c r="G14" s="700"/>
      <c r="H14" s="700"/>
      <c r="I14" s="700"/>
      <c r="J14" s="700"/>
      <c r="K14" s="700"/>
      <c r="L14" s="700"/>
      <c r="M14" s="700"/>
      <c r="N14" s="700"/>
      <c r="O14" s="700"/>
      <c r="P14" s="700"/>
      <c r="Q14" s="700"/>
      <c r="R14" s="700"/>
      <c r="S14" s="700"/>
      <c r="T14" s="700"/>
      <c r="U14" s="700"/>
      <c r="V14" s="700"/>
      <c r="W14" s="700"/>
      <c r="X14" s="700"/>
      <c r="Y14" s="700"/>
      <c r="Z14" s="700"/>
      <c r="AA14" s="700"/>
      <c r="AB14" s="700"/>
      <c r="AC14" s="700"/>
    </row>
    <row r="15" spans="1:29" s="734" customFormat="1" ht="103" customHeight="1">
      <c r="A15" s="732" t="s">
        <v>1295</v>
      </c>
      <c r="B15" s="737" t="s">
        <v>1296</v>
      </c>
      <c r="C15" s="731"/>
      <c r="D15" s="738" t="s">
        <v>964</v>
      </c>
      <c r="E15" s="736">
        <v>1</v>
      </c>
      <c r="F15" s="735">
        <v>82987160</v>
      </c>
      <c r="G15" s="733"/>
      <c r="H15" s="733"/>
      <c r="I15" s="733"/>
      <c r="J15" s="733"/>
      <c r="K15" s="733"/>
      <c r="L15" s="733"/>
      <c r="M15" s="733"/>
      <c r="N15" s="733"/>
      <c r="O15" s="733"/>
      <c r="P15" s="733"/>
      <c r="Q15" s="733"/>
      <c r="R15" s="733"/>
      <c r="S15" s="733"/>
      <c r="T15" s="733"/>
      <c r="U15" s="733"/>
      <c r="V15" s="733"/>
      <c r="W15" s="733"/>
      <c r="X15" s="733"/>
      <c r="Y15" s="733"/>
      <c r="Z15" s="733"/>
      <c r="AA15" s="733"/>
      <c r="AB15" s="733"/>
      <c r="AC15" s="733"/>
    </row>
    <row r="16" spans="1:29" ht="15" customHeight="1">
      <c r="A16" s="701"/>
      <c r="B16" s="702"/>
      <c r="C16" s="703"/>
      <c r="D16" s="702"/>
      <c r="E16" s="700"/>
      <c r="F16" s="704"/>
      <c r="G16" s="700"/>
      <c r="H16" s="700"/>
      <c r="I16" s="700"/>
      <c r="J16" s="700"/>
      <c r="K16" s="700"/>
      <c r="L16" s="700"/>
      <c r="M16" s="700"/>
      <c r="N16" s="700"/>
      <c r="O16" s="700"/>
      <c r="P16" s="700"/>
      <c r="Q16" s="700"/>
      <c r="R16" s="700"/>
      <c r="S16" s="700"/>
      <c r="T16" s="700"/>
      <c r="U16" s="700"/>
      <c r="V16" s="700"/>
      <c r="W16" s="700"/>
      <c r="X16" s="700"/>
      <c r="Y16" s="700"/>
      <c r="Z16" s="700"/>
      <c r="AA16" s="700"/>
      <c r="AB16" s="700"/>
      <c r="AC16" s="700"/>
    </row>
    <row r="17" spans="1:29" ht="15" customHeight="1">
      <c r="A17" s="701"/>
      <c r="B17" s="702"/>
      <c r="C17" s="703"/>
      <c r="D17" s="702"/>
      <c r="E17" s="700"/>
      <c r="F17" s="704"/>
      <c r="G17" s="700"/>
      <c r="H17" s="700"/>
      <c r="I17" s="700"/>
      <c r="J17" s="700"/>
      <c r="K17" s="700"/>
      <c r="L17" s="700"/>
      <c r="M17" s="700"/>
      <c r="N17" s="700"/>
      <c r="O17" s="700"/>
      <c r="P17" s="700"/>
      <c r="Q17" s="700"/>
      <c r="R17" s="700"/>
      <c r="S17" s="700"/>
      <c r="T17" s="700"/>
      <c r="U17" s="700"/>
      <c r="V17" s="700"/>
      <c r="W17" s="700"/>
      <c r="X17" s="700"/>
      <c r="Y17" s="700"/>
      <c r="Z17" s="700"/>
      <c r="AA17" s="700"/>
      <c r="AB17" s="700"/>
      <c r="AC17" s="700"/>
    </row>
    <row r="18" spans="1:29" ht="15" customHeight="1">
      <c r="A18" s="701"/>
      <c r="B18" s="702"/>
      <c r="C18" s="703"/>
      <c r="D18" s="702"/>
      <c r="E18" s="700"/>
      <c r="F18" s="704"/>
      <c r="G18" s="700"/>
      <c r="H18" s="700"/>
      <c r="I18" s="700"/>
      <c r="J18" s="700"/>
      <c r="K18" s="700"/>
      <c r="L18" s="700"/>
      <c r="M18" s="700"/>
      <c r="N18" s="700"/>
      <c r="O18" s="700"/>
      <c r="P18" s="700"/>
      <c r="Q18" s="700"/>
      <c r="R18" s="700"/>
      <c r="S18" s="700"/>
      <c r="T18" s="700"/>
      <c r="U18" s="700"/>
      <c r="V18" s="700"/>
      <c r="W18" s="700"/>
      <c r="X18" s="700"/>
      <c r="Y18" s="700"/>
      <c r="Z18" s="700"/>
      <c r="AA18" s="700"/>
      <c r="AB18" s="700"/>
      <c r="AC18" s="700"/>
    </row>
    <row r="19" spans="1:29" ht="15" customHeight="1">
      <c r="A19" s="701"/>
      <c r="B19" s="702"/>
      <c r="C19" s="703"/>
      <c r="D19" s="702"/>
      <c r="E19" s="700"/>
      <c r="F19" s="704"/>
      <c r="G19" s="700"/>
      <c r="H19" s="700"/>
      <c r="I19" s="700"/>
      <c r="J19" s="700"/>
      <c r="K19" s="700"/>
      <c r="L19" s="700"/>
      <c r="M19" s="700"/>
      <c r="N19" s="700"/>
      <c r="O19" s="700"/>
      <c r="P19" s="700"/>
      <c r="Q19" s="700"/>
      <c r="R19" s="700"/>
      <c r="S19" s="700"/>
      <c r="T19" s="700"/>
      <c r="U19" s="700"/>
      <c r="V19" s="700"/>
      <c r="W19" s="700"/>
      <c r="X19" s="700"/>
      <c r="Y19" s="700"/>
      <c r="Z19" s="700"/>
      <c r="AA19" s="700"/>
      <c r="AB19" s="700"/>
      <c r="AC19" s="700"/>
    </row>
  </sheetData>
  <mergeCells count="11">
    <mergeCell ref="A13:A14"/>
    <mergeCell ref="F13:F14"/>
    <mergeCell ref="B12:C12"/>
    <mergeCell ref="E13:E14"/>
    <mergeCell ref="B13:B14"/>
    <mergeCell ref="A1:A6"/>
    <mergeCell ref="B1:Z3"/>
    <mergeCell ref="AA1:AB2"/>
    <mergeCell ref="AA3:AB4"/>
    <mergeCell ref="B4:Z6"/>
    <mergeCell ref="AA5:AB6"/>
  </mergeCells>
  <pageMargins left="0.7" right="0.7" top="0.75" bottom="0.75" header="0.3" footer="0.3"/>
  <pageSetup orientation="portrait"/>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Presentación</vt:lpstr>
      <vt:lpstr>Historial de cambios</vt:lpstr>
      <vt:lpstr>Tabla de contenido</vt:lpstr>
      <vt:lpstr>1.Propósito</vt:lpstr>
      <vt:lpstr>2.Alcance</vt:lpstr>
      <vt:lpstr>3. Contexto </vt:lpstr>
      <vt:lpstr>4. Plataforma estratégica</vt:lpstr>
      <vt:lpstr>5. Objetivos estratégicos</vt:lpstr>
      <vt:lpstr>6. Interrelación de objetivos</vt:lpstr>
      <vt:lpstr>7. Objetivos y metas</vt:lpstr>
      <vt:lpstr>8. lineamiento de indi</vt:lpstr>
      <vt:lpstr>9. DOFA</vt:lpstr>
      <vt:lpstr>10. RELACIÓN DOFA</vt:lpstr>
      <vt:lpstr>11 Cronograma del plan estratég</vt:lpstr>
      <vt:lpstr>12. Proyección de ventas.</vt:lpstr>
      <vt:lpstr>13. Presupuesto ingresos</vt:lpstr>
      <vt:lpstr>14. presupuesto gastos</vt:lpstr>
      <vt:lpstr>15. Flujo de caja </vt:lpstr>
      <vt:lpstr>16. Presupuesto</vt:lpstr>
      <vt:lpstr>17. Plan de inversiones.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dc:creator>
  <cp:lastModifiedBy>Leonardo Martínez</cp:lastModifiedBy>
  <dcterms:created xsi:type="dcterms:W3CDTF">2025-08-13T14:09:18Z</dcterms:created>
  <dcterms:modified xsi:type="dcterms:W3CDTF">2026-04-27T22:15:02Z</dcterms:modified>
</cp:coreProperties>
</file>